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00" windowWidth="19155" windowHeight="7830"/>
  </bookViews>
  <sheets>
    <sheet name="シート①" sheetId="5" r:id="rId1"/>
    <sheet name="需要・供給量試算シミュレーション" sheetId="3" r:id="rId2"/>
    <sheet name="2025年に向けた訪問診療必要数の試算シート" sheetId="4" r:id="rId3"/>
  </sheets>
  <definedNames>
    <definedName name="_xlnm.Print_Area" localSheetId="2">'2025年に向けた訪問診療必要数の試算シート'!$A$1:$AN$122</definedName>
    <definedName name="_xlnm.Print_Area" localSheetId="1">需要・供給量試算シミュレーション!$A$1:$S$25</definedName>
  </definedNames>
  <calcPr calcId="145621"/>
</workbook>
</file>

<file path=xl/calcChain.xml><?xml version="1.0" encoding="utf-8"?>
<calcChain xmlns="http://schemas.openxmlformats.org/spreadsheetml/2006/main">
  <c r="AC20" i="5" l="1"/>
  <c r="AG20" i="5"/>
  <c r="AE20" i="5"/>
  <c r="AA20" i="5"/>
  <c r="Y20" i="5"/>
  <c r="W20" i="5"/>
  <c r="U20" i="5"/>
  <c r="S20" i="5"/>
  <c r="AE11" i="5" l="1"/>
  <c r="F9" i="3" l="1"/>
  <c r="AG19" i="5" l="1"/>
  <c r="AC21" i="4" l="1"/>
  <c r="E21" i="4"/>
  <c r="E13" i="4"/>
  <c r="AE27" i="5" l="1"/>
  <c r="AE19" i="5" s="1"/>
  <c r="AC27" i="5"/>
  <c r="AC19" i="5" s="1"/>
  <c r="AA27" i="5"/>
  <c r="AA19" i="5" s="1"/>
  <c r="Y27" i="5"/>
  <c r="Y19" i="5" s="1"/>
  <c r="W27" i="5"/>
  <c r="W19" i="5" s="1"/>
  <c r="U27" i="5"/>
  <c r="U19" i="5" s="1"/>
  <c r="S27" i="5"/>
  <c r="S19" i="5" s="1"/>
  <c r="AE26" i="5"/>
  <c r="AC26" i="5"/>
  <c r="AA26" i="5"/>
  <c r="Y26" i="5"/>
  <c r="W26" i="5"/>
  <c r="U26" i="5"/>
  <c r="S26" i="5"/>
  <c r="AE25" i="5"/>
  <c r="AC25" i="5"/>
  <c r="AA25" i="5"/>
  <c r="Y25" i="5"/>
  <c r="W25" i="5"/>
  <c r="U25" i="5"/>
  <c r="S25" i="5"/>
  <c r="AG24" i="5" l="1"/>
  <c r="AA24" i="5" l="1"/>
  <c r="AA13" i="5" s="1"/>
  <c r="AA17" i="5" s="1"/>
  <c r="S24" i="5"/>
  <c r="S13" i="5" s="1"/>
  <c r="S17" i="5" s="1"/>
  <c r="Y24" i="5"/>
  <c r="Y13" i="5" s="1"/>
  <c r="Y17" i="5" s="1"/>
  <c r="AE24" i="5"/>
  <c r="AE13" i="5" s="1"/>
  <c r="AE17" i="5" s="1"/>
  <c r="W24" i="5"/>
  <c r="W13" i="5" s="1"/>
  <c r="W17" i="5" s="1"/>
  <c r="AC24" i="5"/>
  <c r="AC13" i="5" s="1"/>
  <c r="AC17" i="5" s="1"/>
  <c r="U24" i="5"/>
  <c r="U13" i="5" s="1"/>
  <c r="U17" i="5" s="1"/>
  <c r="AG13" i="5"/>
  <c r="AG17" i="5" s="1"/>
  <c r="AG14" i="5" l="1"/>
  <c r="R10" i="3" s="1"/>
  <c r="U14" i="5"/>
  <c r="L10" i="3" s="1"/>
  <c r="AE14" i="5"/>
  <c r="Q10" i="3" s="1"/>
  <c r="AC14" i="5"/>
  <c r="P10" i="3" s="1"/>
  <c r="S14" i="5"/>
  <c r="K10" i="3" s="1"/>
  <c r="Y14" i="5"/>
  <c r="N10" i="3" s="1"/>
  <c r="W14" i="5"/>
  <c r="M10" i="3" s="1"/>
  <c r="AA14" i="5"/>
  <c r="O10" i="3" s="1"/>
  <c r="Q21" i="4"/>
  <c r="Q91" i="4" s="1"/>
  <c r="Q112" i="4" s="1"/>
  <c r="AC13" i="4"/>
  <c r="M32" i="4" s="1"/>
  <c r="G16" i="3"/>
  <c r="Q14" i="3"/>
  <c r="P14" i="3"/>
  <c r="P16" i="3" s="1"/>
  <c r="O14" i="3"/>
  <c r="O16" i="3" s="1"/>
  <c r="N14" i="3"/>
  <c r="M14" i="3"/>
  <c r="L14" i="3"/>
  <c r="K14" i="3"/>
  <c r="F8" i="3"/>
  <c r="F11" i="3" s="1"/>
  <c r="F12" i="3" s="1"/>
  <c r="Q7" i="3"/>
  <c r="P7" i="3"/>
  <c r="O7" i="3"/>
  <c r="N7" i="3"/>
  <c r="M7" i="3"/>
  <c r="L7" i="3"/>
  <c r="K7" i="3"/>
  <c r="J7" i="3"/>
  <c r="I7" i="3"/>
  <c r="H7" i="3"/>
  <c r="G7" i="3"/>
  <c r="M106" i="4" l="1"/>
  <c r="M43" i="4"/>
  <c r="M85" i="4"/>
  <c r="T32" i="4"/>
  <c r="K16" i="3"/>
  <c r="L16" i="3"/>
  <c r="M16" i="3"/>
  <c r="Q16" i="3"/>
  <c r="N16" i="3"/>
  <c r="K11" i="5" l="1"/>
  <c r="AG10" i="5"/>
  <c r="O11" i="5"/>
  <c r="O10" i="5" s="1"/>
  <c r="M11" i="5"/>
  <c r="M10" i="5" s="1"/>
  <c r="Q11" i="5"/>
  <c r="Q10" i="5" s="1"/>
  <c r="Y11" i="5"/>
  <c r="Y10" i="5" s="1"/>
  <c r="AC11" i="5"/>
  <c r="AC10" i="5" s="1"/>
  <c r="Q9" i="3"/>
  <c r="Q8" i="3" s="1"/>
  <c r="Q11" i="3" s="1"/>
  <c r="Q12" i="3" s="1"/>
  <c r="Q18" i="3" s="1"/>
  <c r="U11" i="5"/>
  <c r="L9" i="3" s="1"/>
  <c r="L8" i="3" s="1"/>
  <c r="L11" i="3" s="1"/>
  <c r="L12" i="3" s="1"/>
  <c r="L18" i="3" s="1"/>
  <c r="W11" i="5"/>
  <c r="M9" i="3" s="1"/>
  <c r="R9" i="3"/>
  <c r="AA11" i="5"/>
  <c r="AA10" i="5" s="1"/>
  <c r="S11" i="5"/>
  <c r="S10" i="5" s="1"/>
  <c r="I9" i="3" l="1"/>
  <c r="I8" i="3" s="1"/>
  <c r="I11" i="3" s="1"/>
  <c r="I12" i="3" s="1"/>
  <c r="R8" i="3"/>
  <c r="R11" i="3"/>
  <c r="R12" i="3" s="1"/>
  <c r="R13" i="3" s="1"/>
  <c r="O9" i="3"/>
  <c r="O8" i="3" s="1"/>
  <c r="O11" i="3" s="1"/>
  <c r="O12" i="3" s="1"/>
  <c r="O18" i="3" s="1"/>
  <c r="K9" i="3"/>
  <c r="K8" i="3" s="1"/>
  <c r="K11" i="3" s="1"/>
  <c r="K12" i="3" s="1"/>
  <c r="K18" i="3" s="1"/>
  <c r="N9" i="3"/>
  <c r="N8" i="3" s="1"/>
  <c r="N11" i="3" s="1"/>
  <c r="N12" i="3" s="1"/>
  <c r="N18" i="3" s="1"/>
  <c r="E85" i="4"/>
  <c r="G87" i="4" s="1"/>
  <c r="AC85" i="4" s="1"/>
  <c r="M8" i="3"/>
  <c r="M11" i="3" s="1"/>
  <c r="M12" i="3" s="1"/>
  <c r="M18" i="3" s="1"/>
  <c r="W10" i="5"/>
  <c r="U10" i="5"/>
  <c r="R18" i="3"/>
  <c r="AE10" i="5"/>
  <c r="E43" i="4"/>
  <c r="G45" i="4" s="1"/>
  <c r="AC45" i="4" s="1"/>
  <c r="J9" i="3"/>
  <c r="J8" i="3" s="1"/>
  <c r="J11" i="3" s="1"/>
  <c r="J12" i="3" s="1"/>
  <c r="H9" i="3"/>
  <c r="H8" i="3" s="1"/>
  <c r="H11" i="3" s="1"/>
  <c r="H12" i="3" s="1"/>
  <c r="G9" i="3"/>
  <c r="G8" i="3" s="1"/>
  <c r="G11" i="3" s="1"/>
  <c r="G12" i="3" s="1"/>
  <c r="G17" i="3" s="1"/>
  <c r="P9" i="3"/>
  <c r="R15" i="3" l="1"/>
  <c r="AC53" i="4" s="1"/>
  <c r="M63" i="4" s="1"/>
  <c r="T63" i="4" s="1"/>
  <c r="G18" i="3"/>
  <c r="E53" i="4"/>
  <c r="K13" i="3"/>
  <c r="R17" i="3"/>
  <c r="J13" i="3"/>
  <c r="I13" i="3"/>
  <c r="P13" i="3"/>
  <c r="Q13" i="3"/>
  <c r="M13" i="3"/>
  <c r="N13" i="3"/>
  <c r="O13" i="3"/>
  <c r="H13" i="3"/>
  <c r="L13" i="3"/>
  <c r="P8" i="3"/>
  <c r="P11" i="3" s="1"/>
  <c r="P12" i="3" s="1"/>
  <c r="P18" i="3" s="1"/>
  <c r="E106" i="4"/>
  <c r="G108" i="4" s="1"/>
  <c r="AC106" i="4" s="1"/>
  <c r="N17" i="3" l="1"/>
  <c r="N15" i="3"/>
  <c r="L15" i="3"/>
  <c r="L17" i="3"/>
  <c r="E91" i="4"/>
  <c r="M15" i="3"/>
  <c r="AC91" i="4" s="1"/>
  <c r="M98" i="4" s="1"/>
  <c r="T98" i="4" s="1"/>
  <c r="M17" i="3"/>
  <c r="J15" i="3"/>
  <c r="J17" i="3"/>
  <c r="O15" i="3"/>
  <c r="O17" i="3"/>
  <c r="P17" i="3"/>
  <c r="P15" i="3"/>
  <c r="AC112" i="4" s="1"/>
  <c r="M119" i="4" s="1"/>
  <c r="T119" i="4" s="1"/>
  <c r="E112" i="4"/>
  <c r="K15" i="3"/>
  <c r="K17" i="3"/>
  <c r="I17" i="3"/>
  <c r="I15" i="3"/>
  <c r="H15" i="3"/>
  <c r="H17" i="3"/>
  <c r="Q15" i="3"/>
  <c r="Q17" i="3"/>
</calcChain>
</file>

<file path=xl/sharedStrings.xml><?xml version="1.0" encoding="utf-8"?>
<sst xmlns="http://schemas.openxmlformats.org/spreadsheetml/2006/main" count="281" uniqueCount="136">
  <si>
    <t>2013年
（H25年）</t>
    <rPh sb="4" eb="5">
      <t>ネン</t>
    </rPh>
    <rPh sb="10" eb="11">
      <t>ネン</t>
    </rPh>
    <phoneticPr fontId="6"/>
  </si>
  <si>
    <t>2014年
（Ｈ26年）</t>
    <rPh sb="4" eb="5">
      <t>ネン</t>
    </rPh>
    <rPh sb="10" eb="11">
      <t>ネン</t>
    </rPh>
    <phoneticPr fontId="6"/>
  </si>
  <si>
    <t>2015年
（Ｈ27年）</t>
    <rPh sb="4" eb="5">
      <t>ネン</t>
    </rPh>
    <rPh sb="10" eb="11">
      <t>ネン</t>
    </rPh>
    <phoneticPr fontId="6"/>
  </si>
  <si>
    <t>2016年
（Ｈ28年）</t>
    <rPh sb="4" eb="5">
      <t>ネン</t>
    </rPh>
    <rPh sb="10" eb="11">
      <t>ネン</t>
    </rPh>
    <phoneticPr fontId="6"/>
  </si>
  <si>
    <t>2017年
（Ｈ29年）</t>
    <rPh sb="4" eb="5">
      <t>ネン</t>
    </rPh>
    <rPh sb="10" eb="11">
      <t>ネン</t>
    </rPh>
    <phoneticPr fontId="6"/>
  </si>
  <si>
    <t>2018年
（Ｈ30年）</t>
    <rPh sb="4" eb="5">
      <t>ネン</t>
    </rPh>
    <rPh sb="10" eb="11">
      <t>ネン</t>
    </rPh>
    <phoneticPr fontId="6"/>
  </si>
  <si>
    <t>2019年
（Ｈ31年）</t>
    <rPh sb="4" eb="5">
      <t>ネン</t>
    </rPh>
    <rPh sb="10" eb="11">
      <t>ネン</t>
    </rPh>
    <phoneticPr fontId="6"/>
  </si>
  <si>
    <t>2020年
（H32年）</t>
    <rPh sb="4" eb="5">
      <t>ネン</t>
    </rPh>
    <rPh sb="10" eb="11">
      <t>ネン</t>
    </rPh>
    <phoneticPr fontId="6"/>
  </si>
  <si>
    <t>2021年
（Ｈ33年）</t>
    <rPh sb="4" eb="5">
      <t>ネン</t>
    </rPh>
    <rPh sb="10" eb="11">
      <t>ネン</t>
    </rPh>
    <phoneticPr fontId="6"/>
  </si>
  <si>
    <t>2022年
（Ｈ34年）</t>
    <rPh sb="4" eb="5">
      <t>ネン</t>
    </rPh>
    <rPh sb="10" eb="11">
      <t>ネン</t>
    </rPh>
    <phoneticPr fontId="6"/>
  </si>
  <si>
    <t>2023年
（Ｈ35年）</t>
    <rPh sb="4" eb="5">
      <t>ネン</t>
    </rPh>
    <rPh sb="10" eb="11">
      <t>ネン</t>
    </rPh>
    <phoneticPr fontId="6"/>
  </si>
  <si>
    <t>2024年
（Ｈ36年）</t>
    <rPh sb="4" eb="5">
      <t>ネン</t>
    </rPh>
    <rPh sb="10" eb="11">
      <t>ネン</t>
    </rPh>
    <phoneticPr fontId="6"/>
  </si>
  <si>
    <t>2025年
（Ｈ37年）</t>
    <rPh sb="4" eb="5">
      <t>ネン</t>
    </rPh>
    <rPh sb="10" eb="11">
      <t>ネン</t>
    </rPh>
    <phoneticPr fontId="6"/>
  </si>
  <si>
    <t>65歳以上人口　上段：全国  (万人）</t>
    <rPh sb="2" eb="5">
      <t>サイイジョウ</t>
    </rPh>
    <rPh sb="5" eb="7">
      <t>ジンコウ</t>
    </rPh>
    <rPh sb="8" eb="10">
      <t>ジョウダン</t>
    </rPh>
    <rPh sb="11" eb="13">
      <t>ゼンコク</t>
    </rPh>
    <rPh sb="16" eb="18">
      <t>マンニン</t>
    </rPh>
    <phoneticPr fontId="6"/>
  </si>
  <si>
    <t>65歳以上人口  大阪府　　　（万人）
（大阪は全国の約7％）</t>
    <rPh sb="2" eb="5">
      <t>サイイジョウ</t>
    </rPh>
    <rPh sb="5" eb="7">
      <t>ジンコウ</t>
    </rPh>
    <rPh sb="9" eb="11">
      <t>オオサカ</t>
    </rPh>
    <rPh sb="11" eb="12">
      <t>フ</t>
    </rPh>
    <rPh sb="16" eb="18">
      <t>マンニン</t>
    </rPh>
    <rPh sb="21" eb="23">
      <t>オオサカ</t>
    </rPh>
    <rPh sb="24" eb="26">
      <t>ゼンコク</t>
    </rPh>
    <rPh sb="27" eb="28">
      <t>ヤク</t>
    </rPh>
    <phoneticPr fontId="6"/>
  </si>
  <si>
    <t>需要</t>
    <rPh sb="0" eb="2">
      <t>ジュヨウ</t>
    </rPh>
    <phoneticPr fontId="6"/>
  </si>
  <si>
    <t>①医療需要（在宅医療等）　（人／日）
大阪府地域医療構想</t>
    <rPh sb="1" eb="3">
      <t>イリョウ</t>
    </rPh>
    <rPh sb="3" eb="5">
      <t>ジュヨウ</t>
    </rPh>
    <rPh sb="6" eb="8">
      <t>ザイタク</t>
    </rPh>
    <rPh sb="8" eb="10">
      <t>イリョウ</t>
    </rPh>
    <rPh sb="10" eb="11">
      <t>トウ</t>
    </rPh>
    <rPh sb="14" eb="15">
      <t>ニン</t>
    </rPh>
    <rPh sb="16" eb="17">
      <t>ヒ</t>
    </rPh>
    <rPh sb="19" eb="21">
      <t>オオサカ</t>
    </rPh>
    <rPh sb="21" eb="22">
      <t>フ</t>
    </rPh>
    <rPh sb="22" eb="24">
      <t>チイキ</t>
    </rPh>
    <rPh sb="24" eb="26">
      <t>イリョウ</t>
    </rPh>
    <rPh sb="26" eb="28">
      <t>コウソウ</t>
    </rPh>
    <phoneticPr fontId="6"/>
  </si>
  <si>
    <t>12年間で按分</t>
    <rPh sb="2" eb="4">
      <t>ネンカン</t>
    </rPh>
    <rPh sb="5" eb="7">
      <t>アンブン</t>
    </rPh>
    <phoneticPr fontId="6"/>
  </si>
  <si>
    <t>①在宅医療の需要合計</t>
    <rPh sb="1" eb="3">
      <t>ザイタク</t>
    </rPh>
    <rPh sb="3" eb="5">
      <t>イリョウ</t>
    </rPh>
    <rPh sb="6" eb="8">
      <t>ジュヨウ</t>
    </rPh>
    <rPh sb="8" eb="10">
      <t>ゴウケイ</t>
    </rPh>
    <phoneticPr fontId="16"/>
  </si>
  <si>
    <t>①-1高齢化の動向に伴う医療需要（在宅医療等）
　（人／日）
大阪府地域医療構想【うち訪問診療分】</t>
    <rPh sb="3" eb="6">
      <t>コウレイカ</t>
    </rPh>
    <rPh sb="7" eb="9">
      <t>ドウコウ</t>
    </rPh>
    <rPh sb="10" eb="11">
      <t>トモナ</t>
    </rPh>
    <rPh sb="12" eb="14">
      <t>イリョウ</t>
    </rPh>
    <rPh sb="14" eb="16">
      <t>ジュヨウ</t>
    </rPh>
    <rPh sb="17" eb="19">
      <t>ザイタク</t>
    </rPh>
    <rPh sb="19" eb="21">
      <t>イリョウ</t>
    </rPh>
    <rPh sb="21" eb="22">
      <t>トウ</t>
    </rPh>
    <rPh sb="26" eb="27">
      <t>ニン</t>
    </rPh>
    <rPh sb="28" eb="29">
      <t>ヒ</t>
    </rPh>
    <rPh sb="31" eb="33">
      <t>オオサカ</t>
    </rPh>
    <rPh sb="33" eb="34">
      <t>フ</t>
    </rPh>
    <rPh sb="34" eb="36">
      <t>チイキ</t>
    </rPh>
    <rPh sb="36" eb="38">
      <t>イリョウ</t>
    </rPh>
    <rPh sb="38" eb="40">
      <t>コウソウ</t>
    </rPh>
    <rPh sb="43" eb="45">
      <t>ホウモン</t>
    </rPh>
    <rPh sb="45" eb="47">
      <t>シンリョウ</t>
    </rPh>
    <rPh sb="47" eb="48">
      <t>ブン</t>
    </rPh>
    <phoneticPr fontId="6"/>
  </si>
  <si>
    <t>①-2病床機能分化等による新たなサービス必要量　
（人／日）</t>
    <rPh sb="3" eb="5">
      <t>ビョウショウ</t>
    </rPh>
    <rPh sb="5" eb="7">
      <t>キノウ</t>
    </rPh>
    <rPh sb="7" eb="9">
      <t>ブンカ</t>
    </rPh>
    <rPh sb="9" eb="10">
      <t>トウ</t>
    </rPh>
    <rPh sb="13" eb="14">
      <t>アラ</t>
    </rPh>
    <rPh sb="20" eb="23">
      <t>ヒツヨウリョウ</t>
    </rPh>
    <rPh sb="26" eb="27">
      <t>ニン</t>
    </rPh>
    <rPh sb="28" eb="29">
      <t>ヒ</t>
    </rPh>
    <phoneticPr fontId="6"/>
  </si>
  <si>
    <t>8年間
で按分</t>
    <rPh sb="1" eb="3">
      <t>ネンカン</t>
    </rPh>
    <rPh sb="5" eb="7">
      <t>アンブン</t>
    </rPh>
    <phoneticPr fontId="6"/>
  </si>
  <si>
    <t>供給</t>
    <rPh sb="0" eb="2">
      <t>キョウキュウ</t>
    </rPh>
    <phoneticPr fontId="6"/>
  </si>
  <si>
    <t>④訪問医師数（人）
　（出典）</t>
    <rPh sb="1" eb="3">
      <t>ホウモン</t>
    </rPh>
    <rPh sb="3" eb="6">
      <t>イシスウ</t>
    </rPh>
    <rPh sb="7" eb="8">
      <t>ニン</t>
    </rPh>
    <rPh sb="12" eb="14">
      <t>シュッテン</t>
    </rPh>
    <phoneticPr fontId="6"/>
  </si>
  <si>
    <t>-</t>
    <phoneticPr fontId="6"/>
  </si>
  <si>
    <t>8年間で按分</t>
    <rPh sb="1" eb="3">
      <t>ネンカン</t>
    </rPh>
    <rPh sb="4" eb="6">
      <t>アンブン</t>
    </rPh>
    <phoneticPr fontId="6"/>
  </si>
  <si>
    <t>－</t>
    <phoneticPr fontId="6"/>
  </si>
  <si>
    <t>⑤訪問回数（／月）（③×49.96回）
　（府内訪問医師1人あたり49.96回訪問／月）</t>
    <rPh sb="1" eb="3">
      <t>ホウモン</t>
    </rPh>
    <rPh sb="3" eb="5">
      <t>カイスウ</t>
    </rPh>
    <rPh sb="7" eb="8">
      <t>ツキ</t>
    </rPh>
    <rPh sb="17" eb="18">
      <t>カイ</t>
    </rPh>
    <rPh sb="22" eb="24">
      <t>フナイ</t>
    </rPh>
    <rPh sb="24" eb="26">
      <t>ホウモン</t>
    </rPh>
    <rPh sb="26" eb="28">
      <t>イシ</t>
    </rPh>
    <rPh sb="29" eb="30">
      <t>ニン</t>
    </rPh>
    <rPh sb="38" eb="39">
      <t>カイ</t>
    </rPh>
    <rPh sb="39" eb="41">
      <t>ホウモン</t>
    </rPh>
    <rPh sb="42" eb="43">
      <t>ツキ</t>
    </rPh>
    <phoneticPr fontId="6"/>
  </si>
  <si>
    <t>－</t>
    <phoneticPr fontId="6"/>
  </si>
  <si>
    <t>需要－供給　（人）
　　（④－③）</t>
    <rPh sb="0" eb="2">
      <t>ジュヨウ</t>
    </rPh>
    <rPh sb="3" eb="5">
      <t>キョウキュウ</t>
    </rPh>
    <rPh sb="7" eb="8">
      <t>ニン</t>
    </rPh>
    <phoneticPr fontId="6"/>
  </si>
  <si>
    <t>２０２５年に向けた訪問診療必要量の試算シート</t>
    <rPh sb="4" eb="5">
      <t>ネン</t>
    </rPh>
    <rPh sb="6" eb="7">
      <t>ム</t>
    </rPh>
    <rPh sb="9" eb="11">
      <t>ホウモン</t>
    </rPh>
    <rPh sb="11" eb="13">
      <t>シンリョウ</t>
    </rPh>
    <rPh sb="13" eb="15">
      <t>ヒツヨウ</t>
    </rPh>
    <rPh sb="15" eb="16">
      <t>リョウ</t>
    </rPh>
    <rPh sb="17" eb="19">
      <t>シサン</t>
    </rPh>
    <phoneticPr fontId="16"/>
  </si>
  <si>
    <t>　　　　　　（平成25年）
　　　　　2013年</t>
    <rPh sb="7" eb="9">
      <t>ヘイセイ</t>
    </rPh>
    <rPh sb="11" eb="12">
      <t>ネン</t>
    </rPh>
    <rPh sb="23" eb="24">
      <t>ネン</t>
    </rPh>
    <phoneticPr fontId="16"/>
  </si>
  <si>
    <t>【訪問診療対象者数】－A</t>
    <rPh sb="1" eb="3">
      <t>ホウモン</t>
    </rPh>
    <rPh sb="3" eb="5">
      <t>シンリョウ</t>
    </rPh>
    <rPh sb="5" eb="8">
      <t>タイショウシャ</t>
    </rPh>
    <rPh sb="8" eb="9">
      <t>スウ</t>
    </rPh>
    <phoneticPr fontId="16"/>
  </si>
  <si>
    <t>【訪問診療利用回数（1人あたり）】－B</t>
    <phoneticPr fontId="16"/>
  </si>
  <si>
    <t>下段試算方法にて算出（※１）</t>
    <rPh sb="0" eb="2">
      <t>カダン</t>
    </rPh>
    <rPh sb="2" eb="4">
      <t>シサン</t>
    </rPh>
    <rPh sb="4" eb="6">
      <t>ホウホウ</t>
    </rPh>
    <rPh sb="8" eb="10">
      <t>サンシュツ</t>
    </rPh>
    <phoneticPr fontId="16"/>
  </si>
  <si>
    <t>A×Bにて算出</t>
    <rPh sb="5" eb="7">
      <t>サンシュツ</t>
    </rPh>
    <phoneticPr fontId="16"/>
  </si>
  <si>
    <t>供給－需要</t>
    <rPh sb="0" eb="2">
      <t>キョウキュウ</t>
    </rPh>
    <rPh sb="3" eb="5">
      <t>ジュヨウ</t>
    </rPh>
    <phoneticPr fontId="16"/>
  </si>
  <si>
    <t>人/日</t>
    <rPh sb="0" eb="1">
      <t>ニン</t>
    </rPh>
    <rPh sb="2" eb="3">
      <t>ニチ</t>
    </rPh>
    <phoneticPr fontId="16"/>
  </si>
  <si>
    <t>回/月</t>
    <rPh sb="0" eb="1">
      <t>カイ</t>
    </rPh>
    <rPh sb="2" eb="3">
      <t>ツキ</t>
    </rPh>
    <phoneticPr fontId="16"/>
  </si>
  <si>
    <t>【訪問医師の訪問件数】
（訪問医師1月あたり）</t>
    <rPh sb="1" eb="3">
      <t>ホウモン</t>
    </rPh>
    <rPh sb="3" eb="5">
      <t>イシ</t>
    </rPh>
    <rPh sb="6" eb="8">
      <t>ホウモン</t>
    </rPh>
    <rPh sb="8" eb="10">
      <t>ケンスウ</t>
    </rPh>
    <rPh sb="13" eb="15">
      <t>ホウモン</t>
    </rPh>
    <rPh sb="15" eb="17">
      <t>イシ</t>
    </rPh>
    <rPh sb="18" eb="19">
      <t>ツキ</t>
    </rPh>
    <phoneticPr fontId="16"/>
  </si>
  <si>
    <t>【訪問医師の訪問件数（1月あたり）】</t>
    <rPh sb="1" eb="3">
      <t>ホウモン</t>
    </rPh>
    <rPh sb="3" eb="5">
      <t>イシ</t>
    </rPh>
    <rPh sb="6" eb="8">
      <t>ホウモン</t>
    </rPh>
    <rPh sb="8" eb="10">
      <t>ケンスウ</t>
    </rPh>
    <rPh sb="12" eb="13">
      <t>ツキ</t>
    </rPh>
    <phoneticPr fontId="16"/>
  </si>
  <si>
    <t>人</t>
    <rPh sb="0" eb="1">
      <t>ニン</t>
    </rPh>
    <phoneticPr fontId="16"/>
  </si>
  <si>
    <t>ヶ所</t>
    <rPh sb="1" eb="2">
      <t>ショ</t>
    </rPh>
    <phoneticPr fontId="16"/>
  </si>
  <si>
    <t>※供給については医療施設調査が3年に1度であるため2014年の数字を使用</t>
    <rPh sb="1" eb="3">
      <t>キョウキュウ</t>
    </rPh>
    <rPh sb="8" eb="10">
      <t>イリョウ</t>
    </rPh>
    <rPh sb="10" eb="12">
      <t>シセツ</t>
    </rPh>
    <rPh sb="12" eb="14">
      <t>チョウサ</t>
    </rPh>
    <rPh sb="16" eb="17">
      <t>ネン</t>
    </rPh>
    <rPh sb="19" eb="20">
      <t>ド</t>
    </rPh>
    <rPh sb="29" eb="30">
      <t>ネン</t>
    </rPh>
    <rPh sb="31" eb="33">
      <t>スウジ</t>
    </rPh>
    <rPh sb="34" eb="36">
      <t>シヨウ</t>
    </rPh>
    <phoneticPr fontId="6"/>
  </si>
  <si>
    <t>　　　　　　（平成37年）
　　　　　2025年</t>
    <rPh sb="7" eb="9">
      <t>ヘイセイ</t>
    </rPh>
    <rPh sb="11" eb="12">
      <t>ネン</t>
    </rPh>
    <rPh sb="23" eb="24">
      <t>ネン</t>
    </rPh>
    <phoneticPr fontId="16"/>
  </si>
  <si>
    <t>【訪問診療利用回数】
（1人あたり）－B</t>
    <phoneticPr fontId="16"/>
  </si>
  <si>
    <t>高齢化に伴う自然増</t>
    <rPh sb="0" eb="3">
      <t>コウレイカ</t>
    </rPh>
    <rPh sb="4" eb="5">
      <t>トモナ</t>
    </rPh>
    <rPh sb="6" eb="9">
      <t>シゼンゾウ</t>
    </rPh>
    <phoneticPr fontId="16"/>
  </si>
  <si>
    <t>新たなサービス必要量</t>
    <rPh sb="0" eb="1">
      <t>アラ</t>
    </rPh>
    <rPh sb="7" eb="9">
      <t>ヒツヨウ</t>
    </rPh>
    <rPh sb="9" eb="10">
      <t>リョウ</t>
    </rPh>
    <phoneticPr fontId="16"/>
  </si>
  <si>
    <t>人/日</t>
    <rPh sb="0" eb="1">
      <t>ニン</t>
    </rPh>
    <rPh sb="2" eb="3">
      <t>ヒ</t>
    </rPh>
    <phoneticPr fontId="16"/>
  </si>
  <si>
    <t>合計</t>
    <rPh sb="0" eb="2">
      <t>ゴウケイ</t>
    </rPh>
    <phoneticPr fontId="16"/>
  </si>
  <si>
    <t>※計画中間年（2020年）および計画最終年（2023年）の不足数（必要数）については、2025年の数値から比例案分にて算出</t>
    <rPh sb="1" eb="3">
      <t>ケイカク</t>
    </rPh>
    <rPh sb="3" eb="5">
      <t>チュウカン</t>
    </rPh>
    <rPh sb="5" eb="6">
      <t>ネン</t>
    </rPh>
    <rPh sb="11" eb="12">
      <t>ネン</t>
    </rPh>
    <rPh sb="16" eb="18">
      <t>ケイカク</t>
    </rPh>
    <rPh sb="18" eb="21">
      <t>サイシュウネン</t>
    </rPh>
    <rPh sb="26" eb="27">
      <t>ネン</t>
    </rPh>
    <rPh sb="29" eb="31">
      <t>フソク</t>
    </rPh>
    <rPh sb="31" eb="32">
      <t>スウ</t>
    </rPh>
    <rPh sb="33" eb="36">
      <t>ヒツヨウスウ</t>
    </rPh>
    <rPh sb="47" eb="48">
      <t>ネン</t>
    </rPh>
    <rPh sb="49" eb="51">
      <t>スウチ</t>
    </rPh>
    <rPh sb="53" eb="55">
      <t>ヒレイ</t>
    </rPh>
    <rPh sb="55" eb="57">
      <t>アンブン</t>
    </rPh>
    <rPh sb="59" eb="61">
      <t>サンシュツ</t>
    </rPh>
    <phoneticPr fontId="16"/>
  </si>
  <si>
    <t>　　（平成32年）
　2020年</t>
    <rPh sb="3" eb="5">
      <t>ヘイセイ</t>
    </rPh>
    <rPh sb="7" eb="8">
      <t>ネン</t>
    </rPh>
    <rPh sb="15" eb="16">
      <t>ネン</t>
    </rPh>
    <phoneticPr fontId="16"/>
  </si>
  <si>
    <t>需要</t>
    <rPh sb="0" eb="2">
      <t>ジュヨウ</t>
    </rPh>
    <phoneticPr fontId="16"/>
  </si>
  <si>
    <t>【訪問診療利用回数】
（1人あたり）－B</t>
    <phoneticPr fontId="16"/>
  </si>
  <si>
    <t>供給</t>
    <rPh sb="0" eb="2">
      <t>キョウキュウ</t>
    </rPh>
    <phoneticPr fontId="16"/>
  </si>
  <si>
    <t>　　（平成35年）
　2023年</t>
    <rPh sb="3" eb="5">
      <t>ヘイセイ</t>
    </rPh>
    <rPh sb="7" eb="8">
      <t>ネン</t>
    </rPh>
    <rPh sb="15" eb="16">
      <t>ネン</t>
    </rPh>
    <phoneticPr fontId="16"/>
  </si>
  <si>
    <t>地域医療構想</t>
    <rPh sb="0" eb="2">
      <t>チイキ</t>
    </rPh>
    <rPh sb="2" eb="4">
      <t>イリョウ</t>
    </rPh>
    <rPh sb="4" eb="6">
      <t>コウソウ</t>
    </rPh>
    <phoneticPr fontId="6"/>
  </si>
  <si>
    <t>　保健医療計画</t>
    <rPh sb="1" eb="3">
      <t>ホケン</t>
    </rPh>
    <rPh sb="3" eb="5">
      <t>イリョウ</t>
    </rPh>
    <rPh sb="5" eb="7">
      <t>ケイカク</t>
    </rPh>
    <phoneticPr fontId="6"/>
  </si>
  <si>
    <t>第6次計画</t>
    <rPh sb="0" eb="1">
      <t>ダイ</t>
    </rPh>
    <rPh sb="2" eb="3">
      <t>ジ</t>
    </rPh>
    <rPh sb="3" eb="5">
      <t>ケイカク</t>
    </rPh>
    <phoneticPr fontId="6"/>
  </si>
  <si>
    <t>第7次計画</t>
    <rPh sb="0" eb="1">
      <t>ダイ</t>
    </rPh>
    <rPh sb="2" eb="3">
      <t>ジ</t>
    </rPh>
    <rPh sb="3" eb="5">
      <t>ケイカク</t>
    </rPh>
    <phoneticPr fontId="6"/>
  </si>
  <si>
    <t>第8次計画</t>
    <rPh sb="0" eb="1">
      <t>ダイ</t>
    </rPh>
    <rPh sb="2" eb="3">
      <t>ジ</t>
    </rPh>
    <rPh sb="3" eb="5">
      <t>ケイカク</t>
    </rPh>
    <phoneticPr fontId="6"/>
  </si>
  <si>
    <t>　介護保険事業（支援）計画</t>
    <rPh sb="1" eb="3">
      <t>カイゴ</t>
    </rPh>
    <rPh sb="3" eb="5">
      <t>ホケン</t>
    </rPh>
    <rPh sb="5" eb="7">
      <t>ジギョウ</t>
    </rPh>
    <rPh sb="8" eb="10">
      <t>シエン</t>
    </rPh>
    <rPh sb="11" eb="13">
      <t>ケイカク</t>
    </rPh>
    <phoneticPr fontId="6"/>
  </si>
  <si>
    <t>第6期介護保険事業支援計画</t>
    <phoneticPr fontId="6"/>
  </si>
  <si>
    <t>第9次計画</t>
    <rPh sb="0" eb="1">
      <t>ダイ</t>
    </rPh>
    <rPh sb="2" eb="3">
      <t>ジ</t>
    </rPh>
    <rPh sb="3" eb="5">
      <t>ケイカク</t>
    </rPh>
    <phoneticPr fontId="6"/>
  </si>
  <si>
    <t>2013年
（平成25年）</t>
    <rPh sb="4" eb="5">
      <t>ネン</t>
    </rPh>
    <rPh sb="7" eb="9">
      <t>ヘイセイ</t>
    </rPh>
    <rPh sb="11" eb="12">
      <t>ネン</t>
    </rPh>
    <phoneticPr fontId="6"/>
  </si>
  <si>
    <t>2014年
（平成26年）</t>
    <rPh sb="4" eb="5">
      <t>ネン</t>
    </rPh>
    <rPh sb="7" eb="9">
      <t>ヘイセイ</t>
    </rPh>
    <rPh sb="11" eb="12">
      <t>ネン</t>
    </rPh>
    <phoneticPr fontId="6"/>
  </si>
  <si>
    <t>2015年
(平成27年）</t>
    <rPh sb="4" eb="5">
      <t>ネン</t>
    </rPh>
    <rPh sb="7" eb="9">
      <t>ヘイセイ</t>
    </rPh>
    <rPh sb="11" eb="12">
      <t>ネン</t>
    </rPh>
    <phoneticPr fontId="6"/>
  </si>
  <si>
    <t>2016年
（平成28年）</t>
    <rPh sb="4" eb="5">
      <t>ネン</t>
    </rPh>
    <rPh sb="7" eb="9">
      <t>ヘイセイ</t>
    </rPh>
    <rPh sb="11" eb="12">
      <t>ネン</t>
    </rPh>
    <phoneticPr fontId="6"/>
  </si>
  <si>
    <t>2017年
（平成29年）</t>
    <rPh sb="4" eb="5">
      <t>ネン</t>
    </rPh>
    <rPh sb="7" eb="9">
      <t>ヘイセイ</t>
    </rPh>
    <rPh sb="11" eb="12">
      <t>ネン</t>
    </rPh>
    <phoneticPr fontId="6"/>
  </si>
  <si>
    <t>2018年
(平成30年）</t>
    <rPh sb="4" eb="5">
      <t>ネン</t>
    </rPh>
    <rPh sb="7" eb="9">
      <t>ヘイセイ</t>
    </rPh>
    <rPh sb="11" eb="12">
      <t>ネン</t>
    </rPh>
    <phoneticPr fontId="6"/>
  </si>
  <si>
    <t>2019年
（平成31年）</t>
    <rPh sb="4" eb="5">
      <t>ネン</t>
    </rPh>
    <rPh sb="7" eb="9">
      <t>ヘイセイ</t>
    </rPh>
    <rPh sb="11" eb="12">
      <t>ネン</t>
    </rPh>
    <phoneticPr fontId="6"/>
  </si>
  <si>
    <t>2020年
（平成32年）</t>
    <rPh sb="4" eb="5">
      <t>ネン</t>
    </rPh>
    <rPh sb="7" eb="9">
      <t>ヘイセイ</t>
    </rPh>
    <rPh sb="11" eb="12">
      <t>ネン</t>
    </rPh>
    <phoneticPr fontId="6"/>
  </si>
  <si>
    <t>2021年
(平成33年）</t>
    <rPh sb="4" eb="5">
      <t>ネン</t>
    </rPh>
    <rPh sb="7" eb="9">
      <t>ヘイセイ</t>
    </rPh>
    <rPh sb="11" eb="12">
      <t>ネン</t>
    </rPh>
    <phoneticPr fontId="6"/>
  </si>
  <si>
    <t>2022年
(平成3４年)</t>
    <rPh sb="4" eb="5">
      <t>ネン</t>
    </rPh>
    <rPh sb="7" eb="9">
      <t>ヘイセイ</t>
    </rPh>
    <rPh sb="11" eb="12">
      <t>ネン</t>
    </rPh>
    <phoneticPr fontId="6"/>
  </si>
  <si>
    <t>2023年
（平成35年）</t>
    <rPh sb="4" eb="5">
      <t>ネン</t>
    </rPh>
    <rPh sb="7" eb="9">
      <t>ヘイセイ</t>
    </rPh>
    <rPh sb="11" eb="12">
      <t>ネン</t>
    </rPh>
    <phoneticPr fontId="6"/>
  </si>
  <si>
    <t>2024年
（平成36年）</t>
    <rPh sb="4" eb="5">
      <t>ネン</t>
    </rPh>
    <rPh sb="7" eb="9">
      <t>ヘイセイ</t>
    </rPh>
    <rPh sb="11" eb="12">
      <t>ネン</t>
    </rPh>
    <phoneticPr fontId="6"/>
  </si>
  <si>
    <t>2025年
（平成37年）</t>
    <rPh sb="4" eb="5">
      <t>ネン</t>
    </rPh>
    <rPh sb="7" eb="9">
      <t>ヘイセイ</t>
    </rPh>
    <rPh sb="11" eb="12">
      <t>ネン</t>
    </rPh>
    <phoneticPr fontId="6"/>
  </si>
  <si>
    <r>
      <t>A　高齢化の動向に伴う需要増</t>
    </r>
    <r>
      <rPr>
        <sz val="8"/>
        <color theme="1"/>
        <rFont val="ＭＳ Ｐゴシック"/>
        <family val="3"/>
        <charset val="128"/>
        <scheme val="minor"/>
      </rPr>
      <t>（人/日）</t>
    </r>
    <rPh sb="2" eb="5">
      <t>コウレイカ</t>
    </rPh>
    <rPh sb="6" eb="8">
      <t>ドウコウ</t>
    </rPh>
    <rPh sb="9" eb="10">
      <t>トモナ</t>
    </rPh>
    <rPh sb="11" eb="14">
      <t>ジュヨウゾウ</t>
    </rPh>
    <rPh sb="15" eb="16">
      <t>ニン</t>
    </rPh>
    <rPh sb="17" eb="18">
      <t>ヒ</t>
    </rPh>
    <phoneticPr fontId="6"/>
  </si>
  <si>
    <r>
      <t>　　うち訪問診療の数</t>
    </r>
    <r>
      <rPr>
        <sz val="9"/>
        <color theme="1"/>
        <rFont val="ＭＳ Ｐゴシック"/>
        <family val="3"/>
        <charset val="128"/>
        <scheme val="minor"/>
      </rPr>
      <t>（地域医療構想記載）</t>
    </r>
    <rPh sb="4" eb="6">
      <t>ホウモン</t>
    </rPh>
    <rPh sb="6" eb="8">
      <t>シンリョウ</t>
    </rPh>
    <rPh sb="9" eb="10">
      <t>スウ</t>
    </rPh>
    <rPh sb="11" eb="13">
      <t>チイキ</t>
    </rPh>
    <rPh sb="13" eb="15">
      <t>イリョウ</t>
    </rPh>
    <rPh sb="15" eb="17">
      <t>コウソウ</t>
    </rPh>
    <rPh sb="17" eb="19">
      <t>キサイ</t>
    </rPh>
    <phoneticPr fontId="6"/>
  </si>
  <si>
    <r>
      <t xml:space="preserve"> 　 うち介護施設入所者数
　　</t>
    </r>
    <r>
      <rPr>
        <sz val="9"/>
        <color theme="1"/>
        <rFont val="ＭＳ Ｐゴシック"/>
        <family val="3"/>
        <charset val="128"/>
        <scheme val="minor"/>
      </rPr>
      <t>　（介護医療院への転換等以外老人保健施設）</t>
    </r>
    <rPh sb="5" eb="7">
      <t>カイゴ</t>
    </rPh>
    <rPh sb="7" eb="9">
      <t>シセツ</t>
    </rPh>
    <rPh sb="9" eb="12">
      <t>ニュウショシャ</t>
    </rPh>
    <rPh sb="12" eb="13">
      <t>スウ</t>
    </rPh>
    <rPh sb="18" eb="20">
      <t>カイゴ</t>
    </rPh>
    <rPh sb="20" eb="22">
      <t>イリョウ</t>
    </rPh>
    <rPh sb="22" eb="23">
      <t>イン</t>
    </rPh>
    <rPh sb="25" eb="27">
      <t>テンカン</t>
    </rPh>
    <rPh sb="27" eb="28">
      <t>トウ</t>
    </rPh>
    <rPh sb="28" eb="30">
      <t>イガイ</t>
    </rPh>
    <rPh sb="30" eb="32">
      <t>ロウジン</t>
    </rPh>
    <rPh sb="32" eb="34">
      <t>ホケン</t>
    </rPh>
    <rPh sb="34" eb="36">
      <t>シセツ</t>
    </rPh>
    <phoneticPr fontId="6"/>
  </si>
  <si>
    <r>
      <t xml:space="preserve">B  </t>
    </r>
    <r>
      <rPr>
        <sz val="9"/>
        <color theme="1"/>
        <rFont val="ＭＳ Ｐゴシック"/>
        <family val="3"/>
        <charset val="128"/>
        <scheme val="minor"/>
      </rPr>
      <t>病床機能分化等による新たなサービス必要量</t>
    </r>
    <r>
      <rPr>
        <sz val="6"/>
        <color theme="1"/>
        <rFont val="ＭＳ Ｐゴシック"/>
        <family val="3"/>
        <charset val="128"/>
        <scheme val="minor"/>
      </rPr>
      <t>(人/日）</t>
    </r>
    <r>
      <rPr>
        <sz val="10"/>
        <color theme="1"/>
        <rFont val="ＭＳ Ｐゴシック"/>
        <family val="3"/>
        <charset val="128"/>
        <scheme val="minor"/>
      </rPr>
      <t xml:space="preserve">
     　(療養病床医療区分Iの70％＋地域差解消分）</t>
    </r>
    <rPh sb="3" eb="5">
      <t>ビョウショウ</t>
    </rPh>
    <rPh sb="5" eb="7">
      <t>キノウ</t>
    </rPh>
    <rPh sb="7" eb="9">
      <t>ブンカ</t>
    </rPh>
    <rPh sb="9" eb="10">
      <t>トウ</t>
    </rPh>
    <rPh sb="13" eb="14">
      <t>アラ</t>
    </rPh>
    <rPh sb="20" eb="22">
      <t>ヒツヨウ</t>
    </rPh>
    <rPh sb="22" eb="23">
      <t>リョウ</t>
    </rPh>
    <rPh sb="24" eb="25">
      <t>ニン</t>
    </rPh>
    <rPh sb="26" eb="27">
      <t>ヒ</t>
    </rPh>
    <rPh sb="36" eb="38">
      <t>リョウヨウ</t>
    </rPh>
    <rPh sb="38" eb="40">
      <t>ビョウショウ</t>
    </rPh>
    <rPh sb="40" eb="42">
      <t>イリョウ</t>
    </rPh>
    <rPh sb="42" eb="44">
      <t>クブン</t>
    </rPh>
    <rPh sb="50" eb="52">
      <t>チイキ</t>
    </rPh>
    <rPh sb="52" eb="53">
      <t>サ</t>
    </rPh>
    <rPh sb="53" eb="55">
      <t>カイショウ</t>
    </rPh>
    <rPh sb="55" eb="56">
      <t>ブン</t>
    </rPh>
    <phoneticPr fontId="6"/>
  </si>
  <si>
    <t>-</t>
    <phoneticPr fontId="6"/>
  </si>
  <si>
    <t>　
訪問診療数
　</t>
    <rPh sb="2" eb="4">
      <t>ホウモン</t>
    </rPh>
    <rPh sb="4" eb="6">
      <t>シンリョウ</t>
    </rPh>
    <rPh sb="6" eb="7">
      <t>スウ</t>
    </rPh>
    <phoneticPr fontId="6"/>
  </si>
  <si>
    <t>-</t>
    <phoneticPr fontId="6"/>
  </si>
  <si>
    <r>
      <t xml:space="preserve">イ  </t>
    </r>
    <r>
      <rPr>
        <sz val="9"/>
        <color theme="1"/>
        <rFont val="ＭＳ Ｐゴシック"/>
        <family val="3"/>
        <charset val="128"/>
        <scheme val="minor"/>
      </rPr>
      <t>医療と介護の協議調整分</t>
    </r>
    <phoneticPr fontId="6"/>
  </si>
  <si>
    <t>-</t>
    <phoneticPr fontId="6"/>
  </si>
  <si>
    <r>
      <t xml:space="preserve">
介護施設入所者数
</t>
    </r>
    <r>
      <rPr>
        <sz val="9"/>
        <color theme="1"/>
        <rFont val="ＭＳ Ｐゴシック"/>
        <family val="3"/>
        <charset val="128"/>
        <scheme val="minor"/>
      </rPr>
      <t>　　　</t>
    </r>
    <rPh sb="1" eb="3">
      <t>カイゴ</t>
    </rPh>
    <rPh sb="3" eb="5">
      <t>シセツ</t>
    </rPh>
    <rPh sb="5" eb="7">
      <t>ニュウショ</t>
    </rPh>
    <rPh sb="7" eb="8">
      <t>シャ</t>
    </rPh>
    <rPh sb="8" eb="9">
      <t>スウ</t>
    </rPh>
    <phoneticPr fontId="6"/>
  </si>
  <si>
    <r>
      <t>ウ　</t>
    </r>
    <r>
      <rPr>
        <sz val="9"/>
        <color theme="1"/>
        <rFont val="ＭＳ Ｐゴシック"/>
        <family val="3"/>
        <charset val="128"/>
        <scheme val="minor"/>
      </rPr>
      <t>介護医療院への転換等</t>
    </r>
    <phoneticPr fontId="6"/>
  </si>
  <si>
    <t>-</t>
    <phoneticPr fontId="6"/>
  </si>
  <si>
    <r>
      <t xml:space="preserve">オ  </t>
    </r>
    <r>
      <rPr>
        <sz val="9"/>
        <color theme="1"/>
        <rFont val="ＭＳ Ｐゴシック"/>
        <family val="3"/>
        <charset val="128"/>
        <scheme val="minor"/>
      </rPr>
      <t>医療と介護の協議調整分</t>
    </r>
    <rPh sb="3" eb="5">
      <t>イリョウ</t>
    </rPh>
    <rPh sb="6" eb="8">
      <t>カイゴ</t>
    </rPh>
    <rPh sb="9" eb="11">
      <t>キョウギ</t>
    </rPh>
    <rPh sb="11" eb="13">
      <t>チョウセイ</t>
    </rPh>
    <rPh sb="13" eb="14">
      <t>ブン</t>
    </rPh>
    <phoneticPr fontId="6"/>
  </si>
  <si>
    <t>C　外来患者数
　　　（一般病床（C3未満））</t>
    <rPh sb="2" eb="4">
      <t>ガイライ</t>
    </rPh>
    <rPh sb="4" eb="7">
      <t>カンジャスウ</t>
    </rPh>
    <rPh sb="12" eb="14">
      <t>イッパン</t>
    </rPh>
    <rPh sb="14" eb="16">
      <t>ビョウショウ</t>
    </rPh>
    <rPh sb="19" eb="21">
      <t>ミマン</t>
    </rPh>
    <phoneticPr fontId="6"/>
  </si>
  <si>
    <r>
      <t xml:space="preserve">訪問診療対象者総計（A+Bア+Bイ)
</t>
    </r>
    <r>
      <rPr>
        <sz val="8"/>
        <color theme="1"/>
        <rFont val="ＭＳ Ｐゴシック"/>
        <family val="3"/>
        <charset val="128"/>
        <scheme val="minor"/>
      </rPr>
      <t>（外来患者数以外）</t>
    </r>
    <rPh sb="0" eb="2">
      <t>ホウモン</t>
    </rPh>
    <rPh sb="2" eb="4">
      <t>シンリョウ</t>
    </rPh>
    <rPh sb="4" eb="6">
      <t>タイショウ</t>
    </rPh>
    <rPh sb="6" eb="7">
      <t>シャ</t>
    </rPh>
    <rPh sb="7" eb="9">
      <t>ソウケイ</t>
    </rPh>
    <rPh sb="20" eb="22">
      <t>ガイライ</t>
    </rPh>
    <rPh sb="22" eb="25">
      <t>カンジャスウ</t>
    </rPh>
    <rPh sb="25" eb="27">
      <t>イガイ</t>
    </rPh>
    <phoneticPr fontId="6"/>
  </si>
  <si>
    <t>（参考）国提供データの集計</t>
    <rPh sb="1" eb="3">
      <t>サンコウ</t>
    </rPh>
    <rPh sb="4" eb="5">
      <t>クニ</t>
    </rPh>
    <rPh sb="5" eb="7">
      <t>テイキョウ</t>
    </rPh>
    <rPh sb="11" eb="13">
      <t>シュウケイ</t>
    </rPh>
    <phoneticPr fontId="6"/>
  </si>
  <si>
    <t>療養病床（医療療養病床）</t>
    <rPh sb="0" eb="2">
      <t>リョウヨウ</t>
    </rPh>
    <rPh sb="2" eb="4">
      <t>ビョウショウ</t>
    </rPh>
    <rPh sb="5" eb="7">
      <t>イリョウ</t>
    </rPh>
    <rPh sb="7" eb="9">
      <t>リョウヨウ</t>
    </rPh>
    <rPh sb="9" eb="11">
      <t>ビョウショウ</t>
    </rPh>
    <phoneticPr fontId="6"/>
  </si>
  <si>
    <t>-</t>
    <phoneticPr fontId="6"/>
  </si>
  <si>
    <t>医療区分Ｉの70％</t>
    <rPh sb="0" eb="2">
      <t>イリョウ</t>
    </rPh>
    <rPh sb="2" eb="4">
      <t>クブン</t>
    </rPh>
    <phoneticPr fontId="6"/>
  </si>
  <si>
    <t>地域差解消分</t>
    <rPh sb="0" eb="2">
      <t>チイキ</t>
    </rPh>
    <rPh sb="2" eb="3">
      <t>サ</t>
    </rPh>
    <rPh sb="3" eb="5">
      <t>カイショウ</t>
    </rPh>
    <rPh sb="5" eb="6">
      <t>ブン</t>
    </rPh>
    <phoneticPr fontId="6"/>
  </si>
  <si>
    <t>一般病床（Ｃ３未満）⇒全て外来扱い</t>
    <rPh sb="0" eb="2">
      <t>イッパン</t>
    </rPh>
    <rPh sb="2" eb="4">
      <t>ビョウショウ</t>
    </rPh>
    <rPh sb="7" eb="9">
      <t>ミマン</t>
    </rPh>
    <rPh sb="11" eb="12">
      <t>スベ</t>
    </rPh>
    <rPh sb="13" eb="15">
      <t>ガイライ</t>
    </rPh>
    <rPh sb="15" eb="16">
      <t>アツカ</t>
    </rPh>
    <phoneticPr fontId="6"/>
  </si>
  <si>
    <t>⇒シート②、①－１へ</t>
    <phoneticPr fontId="6"/>
  </si>
  <si>
    <t>備考</t>
    <rPh sb="0" eb="2">
      <t>ビコウ</t>
    </rPh>
    <phoneticPr fontId="6"/>
  </si>
  <si>
    <t>←シート①より
→太枠はシート③へ</t>
    <rPh sb="9" eb="11">
      <t>フトワク</t>
    </rPh>
    <phoneticPr fontId="6"/>
  </si>
  <si>
    <t>→太枠はシート③へ</t>
    <rPh sb="1" eb="3">
      <t>フトワク</t>
    </rPh>
    <phoneticPr fontId="6"/>
  </si>
  <si>
    <t>需要・供給量試算シミュレーション</t>
    <rPh sb="0" eb="2">
      <t>ジュヨウ</t>
    </rPh>
    <rPh sb="3" eb="5">
      <t>キョウキュウ</t>
    </rPh>
    <rPh sb="5" eb="6">
      <t>リョウ</t>
    </rPh>
    <rPh sb="6" eb="8">
      <t>シサン</t>
    </rPh>
    <phoneticPr fontId="6"/>
  </si>
  <si>
    <t>⇒シート②、①－２へ</t>
    <phoneticPr fontId="6"/>
  </si>
  <si>
    <r>
      <t>②訪問診療利用回数（①×</t>
    </r>
    <r>
      <rPr>
        <u/>
        <sz val="11"/>
        <color theme="1"/>
        <rFont val="ＭＳ Ｐゴシック"/>
        <family val="3"/>
        <charset val="128"/>
        <scheme val="minor"/>
      </rPr>
      <t>1.78回</t>
    </r>
    <r>
      <rPr>
        <sz val="11"/>
        <color theme="1"/>
        <rFont val="ＭＳ Ｐゴシック"/>
        <family val="3"/>
        <charset val="128"/>
        <scheme val="minor"/>
      </rPr>
      <t>） （回／月）
　　　　　　　　　　　　　　　　　（※１）</t>
    </r>
    <rPh sb="1" eb="3">
      <t>ホウモン</t>
    </rPh>
    <rPh sb="3" eb="5">
      <t>シンリョウ</t>
    </rPh>
    <rPh sb="5" eb="7">
      <t>リヨウ</t>
    </rPh>
    <rPh sb="7" eb="9">
      <t>カイスウ</t>
    </rPh>
    <rPh sb="16" eb="17">
      <t>カイ</t>
    </rPh>
    <rPh sb="20" eb="21">
      <t>カイ</t>
    </rPh>
    <rPh sb="22" eb="23">
      <t>ツキ</t>
    </rPh>
    <phoneticPr fontId="6"/>
  </si>
  <si>
    <r>
      <t>③訪問医師数（②÷49.96</t>
    </r>
    <r>
      <rPr>
        <u/>
        <sz val="11"/>
        <color theme="1"/>
        <rFont val="ＭＳ Ｐゴシック"/>
        <family val="3"/>
        <charset val="128"/>
        <scheme val="minor"/>
      </rPr>
      <t>回</t>
    </r>
    <r>
      <rPr>
        <sz val="11"/>
        <color theme="1"/>
        <rFont val="ＭＳ Ｐゴシック"/>
        <family val="3"/>
        <charset val="128"/>
        <scheme val="minor"/>
      </rPr>
      <t>）
　【必要数】　　　　　（※２）</t>
    </r>
    <rPh sb="1" eb="3">
      <t>ホウモン</t>
    </rPh>
    <rPh sb="3" eb="6">
      <t>イシスウ</t>
    </rPh>
    <rPh sb="14" eb="15">
      <t>カイ</t>
    </rPh>
    <rPh sb="19" eb="21">
      <t>ヒツヨウ</t>
    </rPh>
    <rPh sb="21" eb="22">
      <t>スウ</t>
    </rPh>
    <phoneticPr fontId="6"/>
  </si>
  <si>
    <t>【市内訪問医療機関】</t>
    <rPh sb="1" eb="3">
      <t>シナイ</t>
    </rPh>
    <rPh sb="3" eb="5">
      <t>ホウモン</t>
    </rPh>
    <rPh sb="5" eb="7">
      <t>イリョウ</t>
    </rPh>
    <rPh sb="7" eb="9">
      <t>キカン</t>
    </rPh>
    <phoneticPr fontId="16"/>
  </si>
  <si>
    <t>供給過不足</t>
    <rPh sb="0" eb="2">
      <t>キョウキュウ</t>
    </rPh>
    <rPh sb="2" eb="3">
      <t>カ</t>
    </rPh>
    <rPh sb="3" eb="5">
      <t>ブソク</t>
    </rPh>
    <phoneticPr fontId="16"/>
  </si>
  <si>
    <t>訪問医過不足数</t>
    <rPh sb="0" eb="2">
      <t>ホウモン</t>
    </rPh>
    <rPh sb="2" eb="3">
      <t>イ</t>
    </rPh>
    <rPh sb="3" eb="4">
      <t>カ</t>
    </rPh>
    <rPh sb="4" eb="6">
      <t>フソク</t>
    </rPh>
    <rPh sb="6" eb="7">
      <t>スウ</t>
    </rPh>
    <phoneticPr fontId="16"/>
  </si>
  <si>
    <t>供給過不足
/訪問医師の訪問件数</t>
    <rPh sb="0" eb="2">
      <t>キョウキュウ</t>
    </rPh>
    <rPh sb="2" eb="3">
      <t>カ</t>
    </rPh>
    <rPh sb="3" eb="5">
      <t>フソク</t>
    </rPh>
    <rPh sb="7" eb="9">
      <t>ホウモン</t>
    </rPh>
    <rPh sb="9" eb="11">
      <t>イシ</t>
    </rPh>
    <rPh sb="12" eb="14">
      <t>ホウモン</t>
    </rPh>
    <rPh sb="14" eb="16">
      <t>ケンスウ</t>
    </rPh>
    <phoneticPr fontId="16"/>
  </si>
  <si>
    <t>下段試算方法にて算出
※１</t>
    <rPh sb="0" eb="2">
      <t>カダン</t>
    </rPh>
    <rPh sb="2" eb="4">
      <t>シサン</t>
    </rPh>
    <rPh sb="4" eb="6">
      <t>ホウホウ</t>
    </rPh>
    <rPh sb="8" eb="10">
      <t>サンシュツ</t>
    </rPh>
    <phoneticPr fontId="16"/>
  </si>
  <si>
    <t>※２　府平均</t>
    <rPh sb="3" eb="4">
      <t>フ</t>
    </rPh>
    <rPh sb="4" eb="6">
      <t>ヘイキン</t>
    </rPh>
    <phoneticPr fontId="16"/>
  </si>
  <si>
    <t>【訪問医師の訪問件数】
（※２　府平均）</t>
    <rPh sb="1" eb="3">
      <t>ホウモン</t>
    </rPh>
    <rPh sb="3" eb="5">
      <t>イシ</t>
    </rPh>
    <rPh sb="6" eb="8">
      <t>ホウモン</t>
    </rPh>
    <rPh sb="8" eb="10">
      <t>ケンスウ</t>
    </rPh>
    <rPh sb="16" eb="17">
      <t>フ</t>
    </rPh>
    <rPh sb="17" eb="19">
      <t>ヘイキン</t>
    </rPh>
    <phoneticPr fontId="16"/>
  </si>
  <si>
    <t>A</t>
    <phoneticPr fontId="6"/>
  </si>
  <si>
    <t>B</t>
    <phoneticPr fontId="6"/>
  </si>
  <si>
    <t>C</t>
    <phoneticPr fontId="6"/>
  </si>
  <si>
    <r>
      <t xml:space="preserve">ア  </t>
    </r>
    <r>
      <rPr>
        <b/>
        <sz val="9"/>
        <color theme="0"/>
        <rFont val="ＭＳ Ｐゴシック"/>
        <family val="3"/>
        <charset val="128"/>
        <scheme val="minor"/>
      </rPr>
      <t>在宅と施設の比率により算定</t>
    </r>
    <phoneticPr fontId="6"/>
  </si>
  <si>
    <r>
      <t xml:space="preserve">エ  </t>
    </r>
    <r>
      <rPr>
        <b/>
        <sz val="9"/>
        <color theme="0"/>
        <rFont val="ＭＳ Ｐゴシック"/>
        <family val="3"/>
        <charset val="128"/>
        <scheme val="minor"/>
      </rPr>
      <t>在宅と施設の比率により算定</t>
    </r>
    <rPh sb="3" eb="5">
      <t>ザイタク</t>
    </rPh>
    <rPh sb="6" eb="8">
      <t>シセツ</t>
    </rPh>
    <rPh sb="9" eb="11">
      <t>ヒリツ</t>
    </rPh>
    <rPh sb="14" eb="16">
      <t>サンテイ</t>
    </rPh>
    <phoneticPr fontId="6"/>
  </si>
  <si>
    <t>★小数点以下を含む数値は切上げて整数としています</t>
    <rPh sb="1" eb="4">
      <t>ショウスウテン</t>
    </rPh>
    <rPh sb="4" eb="6">
      <t>イカ</t>
    </rPh>
    <rPh sb="7" eb="8">
      <t>フク</t>
    </rPh>
    <rPh sb="9" eb="11">
      <t>スウチ</t>
    </rPh>
    <rPh sb="12" eb="14">
      <t>キリア</t>
    </rPh>
    <rPh sb="16" eb="18">
      <t>セイスウ</t>
    </rPh>
    <phoneticPr fontId="6"/>
  </si>
  <si>
    <r>
      <t>【訪問診療の医療需要</t>
    </r>
    <r>
      <rPr>
        <sz val="12"/>
        <color theme="1"/>
        <rFont val="ＭＳ Ｐゴシック"/>
        <family val="3"/>
        <charset val="128"/>
        <scheme val="minor"/>
      </rPr>
      <t>（1月あたり）</t>
    </r>
    <r>
      <rPr>
        <sz val="14"/>
        <color theme="1"/>
        <rFont val="ＭＳ Ｐゴシック"/>
        <family val="2"/>
        <charset val="128"/>
        <scheme val="minor"/>
      </rPr>
      <t>】</t>
    </r>
    <phoneticPr fontId="16"/>
  </si>
  <si>
    <r>
      <t>【訪問医師の訪問件数総数</t>
    </r>
    <r>
      <rPr>
        <sz val="12"/>
        <color theme="1"/>
        <rFont val="ＭＳ Ｐゴシック"/>
        <family val="3"/>
        <charset val="128"/>
        <scheme val="minor"/>
      </rPr>
      <t>（1月あたり）</t>
    </r>
    <r>
      <rPr>
        <sz val="14"/>
        <color theme="1"/>
        <rFont val="ＭＳ Ｐゴシック"/>
        <family val="3"/>
        <charset val="128"/>
        <scheme val="minor"/>
      </rPr>
      <t>】</t>
    </r>
    <rPh sb="1" eb="3">
      <t>ホウモン</t>
    </rPh>
    <rPh sb="3" eb="5">
      <t>イシ</t>
    </rPh>
    <rPh sb="6" eb="8">
      <t>ホウモン</t>
    </rPh>
    <rPh sb="8" eb="10">
      <t>ケンスウ</t>
    </rPh>
    <rPh sb="10" eb="12">
      <t>ソウスウ</t>
    </rPh>
    <rPh sb="14" eb="15">
      <t>ツキ</t>
    </rPh>
    <phoneticPr fontId="16"/>
  </si>
  <si>
    <r>
      <t xml:space="preserve">平成26年度医療施設調査
訪問件数÷市内訪問医療機関
</t>
    </r>
    <r>
      <rPr>
        <u/>
        <sz val="14"/>
        <color theme="1"/>
        <rFont val="ＭＳ Ｐゴシック"/>
        <family val="3"/>
        <charset val="128"/>
        <scheme val="minor"/>
      </rPr>
      <t>※市町村独自</t>
    </r>
    <rPh sb="0" eb="2">
      <t>ヘイセイ</t>
    </rPh>
    <rPh sb="4" eb="6">
      <t>ネンド</t>
    </rPh>
    <rPh sb="6" eb="8">
      <t>イリョウ</t>
    </rPh>
    <rPh sb="8" eb="10">
      <t>シセツ</t>
    </rPh>
    <rPh sb="10" eb="12">
      <t>チョウサ</t>
    </rPh>
    <rPh sb="13" eb="26">
      <t>ホウモンケンスウワルシナイホウモンイリョウキカン</t>
    </rPh>
    <rPh sb="28" eb="31">
      <t>シチョウソン</t>
    </rPh>
    <rPh sb="31" eb="33">
      <t>ドクジ</t>
    </rPh>
    <phoneticPr fontId="16"/>
  </si>
  <si>
    <t>平成26年度医療施設調査</t>
    <rPh sb="0" eb="2">
      <t>ヘイセイ</t>
    </rPh>
    <rPh sb="4" eb="6">
      <t>ネンド</t>
    </rPh>
    <rPh sb="6" eb="8">
      <t>イリョウ</t>
    </rPh>
    <rPh sb="8" eb="10">
      <t>シセツ</t>
    </rPh>
    <rPh sb="10" eb="12">
      <t>チョウサ</t>
    </rPh>
    <phoneticPr fontId="16"/>
  </si>
  <si>
    <t>（利用者ニーズ）
　需要</t>
    <rPh sb="1" eb="4">
      <t>リヨウシャ</t>
    </rPh>
    <rPh sb="10" eb="12">
      <t>ジュヨウ</t>
    </rPh>
    <phoneticPr fontId="16"/>
  </si>
  <si>
    <t>（提供体制）
　　供給</t>
    <rPh sb="1" eb="3">
      <t>テイキョウ</t>
    </rPh>
    <rPh sb="3" eb="5">
      <t>タイセイ</t>
    </rPh>
    <rPh sb="9" eb="11">
      <t>キョウキュウ</t>
    </rPh>
    <phoneticPr fontId="16"/>
  </si>
  <si>
    <r>
      <t>【訪問診療の医療需要</t>
    </r>
    <r>
      <rPr>
        <sz val="12"/>
        <color theme="1"/>
        <rFont val="ＭＳ Ｐゴシック"/>
        <family val="3"/>
        <charset val="128"/>
        <scheme val="minor"/>
      </rPr>
      <t>（1月あたり）</t>
    </r>
    <r>
      <rPr>
        <sz val="14"/>
        <color theme="1"/>
        <rFont val="ＭＳ Ｐゴシック"/>
        <family val="3"/>
        <charset val="128"/>
        <scheme val="minor"/>
      </rPr>
      <t>】</t>
    </r>
    <phoneticPr fontId="16"/>
  </si>
  <si>
    <r>
      <t xml:space="preserve">2025年（平成37年）新たな
サービス必要量
</t>
    </r>
    <r>
      <rPr>
        <sz val="10"/>
        <color theme="1"/>
        <rFont val="ＭＳ Ｐゴシック"/>
        <family val="3"/>
        <charset val="128"/>
        <scheme val="minor"/>
      </rPr>
      <t>（需要推計シミュレーションシート）</t>
    </r>
    <rPh sb="12" eb="13">
      <t>アラ</t>
    </rPh>
    <rPh sb="20" eb="22">
      <t>ヒツヨウ</t>
    </rPh>
    <rPh sb="22" eb="23">
      <t>リョウ</t>
    </rPh>
    <phoneticPr fontId="16"/>
  </si>
  <si>
    <t>2025年の介護施設・在宅医療等の追加的需要の機械的試算
（厚労省提供データ）　</t>
    <rPh sb="4" eb="5">
      <t>ネン</t>
    </rPh>
    <rPh sb="6" eb="8">
      <t>カイゴ</t>
    </rPh>
    <rPh sb="8" eb="10">
      <t>シセツ</t>
    </rPh>
    <rPh sb="11" eb="13">
      <t>ザイタク</t>
    </rPh>
    <rPh sb="13" eb="15">
      <t>イリョウ</t>
    </rPh>
    <rPh sb="15" eb="16">
      <t>トウ</t>
    </rPh>
    <phoneticPr fontId="16"/>
  </si>
  <si>
    <t>2025年（平成37年）訪問医師必要数
（需要推計シミュレーションシート）</t>
    <rPh sb="4" eb="5">
      <t>ネン</t>
    </rPh>
    <rPh sb="6" eb="8">
      <t>ヘイセイ</t>
    </rPh>
    <rPh sb="10" eb="11">
      <t>ネン</t>
    </rPh>
    <rPh sb="12" eb="14">
      <t>ホウモン</t>
    </rPh>
    <rPh sb="14" eb="16">
      <t>イシ</t>
    </rPh>
    <rPh sb="16" eb="19">
      <t>ヒツヨウスウ</t>
    </rPh>
    <rPh sb="21" eb="23">
      <t>ジュヨウ</t>
    </rPh>
    <rPh sb="23" eb="25">
      <t>スイケイ</t>
    </rPh>
    <phoneticPr fontId="16"/>
  </si>
  <si>
    <t>2025年（平成37年）訪問回数（供給）
（需要推計シミュレーションシート）</t>
    <rPh sb="4" eb="5">
      <t>ネン</t>
    </rPh>
    <rPh sb="6" eb="8">
      <t>ヘイセイ</t>
    </rPh>
    <rPh sb="10" eb="11">
      <t>ネン</t>
    </rPh>
    <rPh sb="12" eb="14">
      <t>ホウモン</t>
    </rPh>
    <rPh sb="14" eb="16">
      <t>カイスウ</t>
    </rPh>
    <rPh sb="17" eb="19">
      <t>キョウキュウ</t>
    </rPh>
    <rPh sb="22" eb="24">
      <t>ジュヨウ</t>
    </rPh>
    <rPh sb="24" eb="26">
      <t>スイケイ</t>
    </rPh>
    <phoneticPr fontId="16"/>
  </si>
  <si>
    <r>
      <t>【訪問診療の医療需要</t>
    </r>
    <r>
      <rPr>
        <sz val="12"/>
        <color theme="1"/>
        <rFont val="ＭＳ Ｐゴシック"/>
        <family val="3"/>
        <charset val="128"/>
        <scheme val="minor"/>
      </rPr>
      <t>（1月あたり）</t>
    </r>
    <r>
      <rPr>
        <sz val="14"/>
        <color theme="1"/>
        <rFont val="ＭＳ Ｐゴシック"/>
        <family val="3"/>
        <charset val="128"/>
        <scheme val="minor"/>
      </rPr>
      <t>】</t>
    </r>
    <phoneticPr fontId="16"/>
  </si>
  <si>
    <r>
      <t>【訪問診療の医療需要</t>
    </r>
    <r>
      <rPr>
        <sz val="12"/>
        <color theme="1"/>
        <rFont val="ＭＳ Ｐゴシック"/>
        <family val="3"/>
        <charset val="128"/>
        <scheme val="minor"/>
      </rPr>
      <t>（1月あたり）</t>
    </r>
    <r>
      <rPr>
        <sz val="14"/>
        <color theme="1"/>
        <rFont val="ＭＳ Ｐゴシック"/>
        <family val="3"/>
        <charset val="128"/>
        <scheme val="minor"/>
      </rPr>
      <t>】</t>
    </r>
    <phoneticPr fontId="16"/>
  </si>
  <si>
    <t>　（提供体制）
　　供給</t>
    <rPh sb="2" eb="4">
      <t>テイキョウ</t>
    </rPh>
    <rPh sb="4" eb="6">
      <t>タイセイ</t>
    </rPh>
    <rPh sb="10" eb="12">
      <t>キョウキュウ</t>
    </rPh>
    <phoneticPr fontId="16"/>
  </si>
  <si>
    <r>
      <t>　　　　</t>
    </r>
    <r>
      <rPr>
        <sz val="14"/>
        <color theme="1"/>
        <rFont val="ＭＳ Ｐゴシック"/>
        <family val="3"/>
        <charset val="128"/>
        <scheme val="minor"/>
      </rPr>
      <t xml:space="preserve"> </t>
    </r>
    <r>
      <rPr>
        <sz val="14"/>
        <color theme="1"/>
        <rFont val="ＭＳ Ｐゴシック"/>
        <family val="2"/>
        <charset val="128"/>
        <scheme val="minor"/>
      </rPr>
      <t xml:space="preserve">介護施設・在宅医療等の
　　　　追加的需要の機械的試算
    　　 　 （厚労省提供データ）
</t>
    </r>
    <r>
      <rPr>
        <sz val="14"/>
        <color theme="1"/>
        <rFont val="ＭＳ Ｐゴシック"/>
        <family val="3"/>
        <charset val="128"/>
        <scheme val="minor"/>
      </rPr>
      <t xml:space="preserve">    　　　※各市町村切上げの数</t>
    </r>
    <rPh sb="5" eb="7">
      <t>カイゴ</t>
    </rPh>
    <rPh sb="7" eb="9">
      <t>シセツ</t>
    </rPh>
    <rPh sb="10" eb="12">
      <t>ザイタク</t>
    </rPh>
    <rPh sb="12" eb="14">
      <t>イリョウ</t>
    </rPh>
    <rPh sb="14" eb="15">
      <t>トウ</t>
    </rPh>
    <rPh sb="61" eb="65">
      <t>カクシチョウソン</t>
    </rPh>
    <rPh sb="65" eb="67">
      <t>キリア</t>
    </rPh>
    <rPh sb="69" eb="70">
      <t>カズ</t>
    </rPh>
    <phoneticPr fontId="16"/>
  </si>
  <si>
    <t>在宅医療需要等の算定</t>
  </si>
  <si>
    <t>【堺市】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</si>
</sst>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_ "/>
    <numFmt numFmtId="178" formatCode="#,##0.00_ "/>
    <numFmt numFmtId="179" formatCode="#,##0_);[Red]\(#,##0\)"/>
  </numFmts>
  <fonts count="4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rgb="FFFFFF00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b/>
      <sz val="13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Up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Dashed">
        <color auto="1"/>
      </top>
      <bottom/>
      <diagonal/>
    </border>
    <border>
      <left style="thin">
        <color auto="1"/>
      </left>
      <right style="medium">
        <color auto="1"/>
      </right>
      <top style="mediumDashed">
        <color auto="1"/>
      </top>
      <bottom/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indexed="64"/>
      </bottom>
      <diagonal/>
    </border>
    <border>
      <left/>
      <right style="medium">
        <color auto="1"/>
      </right>
      <top style="thick">
        <color auto="1"/>
      </top>
      <bottom style="medium">
        <color indexed="64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double">
        <color auto="1"/>
      </left>
      <right/>
      <top style="thick">
        <color auto="1"/>
      </top>
      <bottom style="medium">
        <color auto="1"/>
      </bottom>
      <diagonal/>
    </border>
    <border>
      <left/>
      <right style="double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ck">
        <color auto="1"/>
      </bottom>
      <diagonal/>
    </border>
    <border>
      <left/>
      <right style="double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</borders>
  <cellStyleXfs count="6">
    <xf numFmtId="0" fontId="0" fillId="0" borderId="0"/>
    <xf numFmtId="0" fontId="5" fillId="0" borderId="0"/>
    <xf numFmtId="0" fontId="4" fillId="0" borderId="0">
      <alignment vertical="center"/>
    </xf>
    <xf numFmtId="0" fontId="19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</cellStyleXfs>
  <cellXfs count="747">
    <xf numFmtId="0" fontId="0" fillId="0" borderId="0" xfId="0"/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57" fontId="13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4" fillId="0" borderId="17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5" fillId="0" borderId="37" xfId="1" applyFont="1" applyBorder="1" applyAlignment="1">
      <alignment vertical="center" wrapText="1"/>
    </xf>
    <xf numFmtId="0" fontId="14" fillId="0" borderId="38" xfId="1" applyFont="1" applyBorder="1" applyAlignment="1">
      <alignment horizontal="center" vertical="center" wrapText="1"/>
    </xf>
    <xf numFmtId="176" fontId="12" fillId="0" borderId="32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34" xfId="1" applyFont="1" applyBorder="1" applyAlignment="1">
      <alignment vertical="center" wrapText="1"/>
    </xf>
    <xf numFmtId="0" fontId="14" fillId="0" borderId="35" xfId="1" applyFont="1" applyBorder="1" applyAlignment="1">
      <alignment horizontal="center" vertical="center" wrapText="1"/>
    </xf>
    <xf numFmtId="176" fontId="12" fillId="0" borderId="33" xfId="1" applyNumberFormat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22" xfId="1" applyFont="1" applyBorder="1" applyAlignment="1">
      <alignment vertical="center"/>
    </xf>
    <xf numFmtId="0" fontId="10" fillId="0" borderId="40" xfId="1" applyFont="1" applyBorder="1" applyAlignment="1">
      <alignment vertical="center" wrapText="1"/>
    </xf>
    <xf numFmtId="0" fontId="14" fillId="0" borderId="41" xfId="1" applyFont="1" applyBorder="1" applyAlignment="1">
      <alignment horizontal="center" vertical="center" wrapText="1"/>
    </xf>
    <xf numFmtId="176" fontId="10" fillId="2" borderId="1" xfId="1" applyNumberFormat="1" applyFont="1" applyFill="1" applyBorder="1" applyAlignment="1">
      <alignment vertical="center"/>
    </xf>
    <xf numFmtId="176" fontId="10" fillId="0" borderId="1" xfId="1" applyNumberFormat="1" applyFont="1" applyBorder="1" applyAlignment="1">
      <alignment horizontal="right" vertical="center"/>
    </xf>
    <xf numFmtId="176" fontId="10" fillId="2" borderId="42" xfId="1" applyNumberFormat="1" applyFont="1" applyFill="1" applyBorder="1" applyAlignment="1">
      <alignment vertical="center"/>
    </xf>
    <xf numFmtId="0" fontId="14" fillId="0" borderId="7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/>
    </xf>
    <xf numFmtId="0" fontId="10" fillId="0" borderId="3" xfId="1" applyFont="1" applyBorder="1" applyAlignment="1">
      <alignment vertical="center" wrapText="1"/>
    </xf>
    <xf numFmtId="0" fontId="9" fillId="0" borderId="46" xfId="1" applyFont="1" applyBorder="1" applyAlignment="1">
      <alignment horizontal="center" vertical="center"/>
    </xf>
    <xf numFmtId="0" fontId="10" fillId="0" borderId="4" xfId="1" applyFont="1" applyBorder="1" applyAlignment="1">
      <alignment vertical="center" wrapText="1"/>
    </xf>
    <xf numFmtId="0" fontId="14" fillId="0" borderId="47" xfId="1" applyFont="1" applyBorder="1" applyAlignment="1">
      <alignment horizontal="center" vertical="center" wrapText="1"/>
    </xf>
    <xf numFmtId="0" fontId="14" fillId="0" borderId="50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9" fillId="0" borderId="26" xfId="1" applyFont="1" applyBorder="1" applyAlignment="1">
      <alignment vertical="center"/>
    </xf>
    <xf numFmtId="0" fontId="5" fillId="0" borderId="14" xfId="1" applyBorder="1" applyAlignment="1">
      <alignment vertical="center" wrapText="1"/>
    </xf>
    <xf numFmtId="0" fontId="5" fillId="0" borderId="27" xfId="1" applyBorder="1" applyAlignment="1">
      <alignment vertical="center" wrapText="1"/>
    </xf>
    <xf numFmtId="0" fontId="14" fillId="0" borderId="49" xfId="1" applyFont="1" applyBorder="1" applyAlignment="1">
      <alignment horizontal="center" vertical="center" wrapText="1"/>
    </xf>
    <xf numFmtId="176" fontId="10" fillId="0" borderId="28" xfId="1" applyNumberFormat="1" applyFont="1" applyBorder="1" applyAlignment="1">
      <alignment vertical="center"/>
    </xf>
    <xf numFmtId="176" fontId="10" fillId="0" borderId="28" xfId="1" applyNumberFormat="1" applyFont="1" applyBorder="1" applyAlignment="1">
      <alignment horizontal="center" vertical="center"/>
    </xf>
    <xf numFmtId="176" fontId="10" fillId="0" borderId="29" xfId="1" applyNumberFormat="1" applyFont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4" fillId="0" borderId="0" xfId="2">
      <alignment vertical="center"/>
    </xf>
    <xf numFmtId="0" fontId="4" fillId="0" borderId="0" xfId="2" applyAlignment="1">
      <alignment vertical="center"/>
    </xf>
    <xf numFmtId="0" fontId="4" fillId="0" borderId="0" xfId="2" applyFont="1" applyAlignment="1">
      <alignment horizontal="right" vertical="center"/>
    </xf>
    <xf numFmtId="0" fontId="17" fillId="0" borderId="0" xfId="2" applyFont="1" applyAlignment="1">
      <alignment horizontal="left" vertical="center"/>
    </xf>
    <xf numFmtId="0" fontId="4" fillId="0" borderId="6" xfId="2" applyBorder="1" applyAlignment="1">
      <alignment vertical="center"/>
    </xf>
    <xf numFmtId="0" fontId="4" fillId="0" borderId="63" xfId="2" applyBorder="1" applyAlignment="1">
      <alignment vertical="center"/>
    </xf>
    <xf numFmtId="0" fontId="4" fillId="0" borderId="7" xfId="2" applyBorder="1" applyAlignment="1">
      <alignment vertical="center"/>
    </xf>
    <xf numFmtId="0" fontId="9" fillId="0" borderId="19" xfId="2" applyFont="1" applyFill="1" applyBorder="1" applyAlignment="1">
      <alignment horizontal="center" vertical="top" textRotation="255" wrapText="1"/>
    </xf>
    <xf numFmtId="0" fontId="7" fillId="0" borderId="19" xfId="2" applyFont="1" applyFill="1" applyBorder="1" applyAlignment="1">
      <alignment horizontal="center" vertical="top" textRotation="255" wrapText="1"/>
    </xf>
    <xf numFmtId="177" fontId="4" fillId="0" borderId="19" xfId="2" applyNumberFormat="1" applyFill="1" applyBorder="1" applyAlignment="1">
      <alignment horizontal="center" vertical="center"/>
    </xf>
    <xf numFmtId="177" fontId="4" fillId="0" borderId="19" xfId="2" applyNumberFormat="1" applyFill="1" applyBorder="1" applyAlignment="1">
      <alignment vertical="center"/>
    </xf>
    <xf numFmtId="177" fontId="4" fillId="0" borderId="19" xfId="2" applyNumberFormat="1" applyFill="1" applyBorder="1" applyAlignment="1">
      <alignment horizontal="right" vertical="center"/>
    </xf>
    <xf numFmtId="178" fontId="4" fillId="0" borderId="19" xfId="2" applyNumberFormat="1" applyFill="1" applyBorder="1" applyAlignment="1">
      <alignment horizontal="center" vertical="center"/>
    </xf>
    <xf numFmtId="0" fontId="4" fillId="0" borderId="19" xfId="2" applyFill="1" applyBorder="1" applyAlignment="1">
      <alignment vertical="center"/>
    </xf>
    <xf numFmtId="0" fontId="4" fillId="0" borderId="19" xfId="2" applyFill="1" applyBorder="1" applyAlignment="1">
      <alignment horizontal="right" vertical="center"/>
    </xf>
    <xf numFmtId="0" fontId="9" fillId="0" borderId="0" xfId="2" applyFont="1" applyFill="1" applyBorder="1" applyAlignment="1">
      <alignment horizontal="center" vertical="top" textRotation="255" wrapText="1"/>
    </xf>
    <xf numFmtId="0" fontId="7" fillId="0" borderId="0" xfId="2" applyFont="1" applyFill="1" applyBorder="1" applyAlignment="1">
      <alignment horizontal="center" vertical="top" textRotation="255" wrapText="1"/>
    </xf>
    <xf numFmtId="177" fontId="4" fillId="0" borderId="0" xfId="2" applyNumberFormat="1" applyFill="1" applyBorder="1" applyAlignment="1">
      <alignment horizontal="center" vertical="center"/>
    </xf>
    <xf numFmtId="177" fontId="4" fillId="0" borderId="0" xfId="2" applyNumberFormat="1" applyFill="1" applyBorder="1" applyAlignment="1">
      <alignment vertical="center"/>
    </xf>
    <xf numFmtId="177" fontId="4" fillId="0" borderId="0" xfId="2" applyNumberFormat="1" applyFill="1" applyBorder="1" applyAlignment="1">
      <alignment horizontal="right" vertical="center"/>
    </xf>
    <xf numFmtId="178" fontId="4" fillId="0" borderId="0" xfId="2" applyNumberFormat="1" applyFill="1" applyBorder="1" applyAlignment="1">
      <alignment horizontal="center" vertical="center"/>
    </xf>
    <xf numFmtId="0" fontId="4" fillId="0" borderId="0" xfId="2" applyFill="1" applyBorder="1" applyAlignment="1">
      <alignment vertical="center"/>
    </xf>
    <xf numFmtId="0" fontId="4" fillId="0" borderId="0" xfId="2" applyFill="1" applyBorder="1" applyAlignment="1">
      <alignment horizontal="right" vertical="center"/>
    </xf>
    <xf numFmtId="0" fontId="9" fillId="0" borderId="0" xfId="2" applyFont="1" applyBorder="1" applyAlignment="1">
      <alignment horizontal="center" vertical="top" textRotation="255"/>
    </xf>
    <xf numFmtId="0" fontId="4" fillId="0" borderId="0" xfId="2" applyBorder="1" applyAlignment="1">
      <alignment horizontal="center" vertical="top" textRotation="255"/>
    </xf>
    <xf numFmtId="0" fontId="4" fillId="0" borderId="0" xfId="2" applyBorder="1" applyAlignment="1">
      <alignment horizontal="right" vertical="center"/>
    </xf>
    <xf numFmtId="0" fontId="9" fillId="0" borderId="15" xfId="2" applyFont="1" applyBorder="1" applyAlignment="1">
      <alignment horizontal="center" vertical="top" textRotation="255"/>
    </xf>
    <xf numFmtId="0" fontId="4" fillId="0" borderId="15" xfId="2" applyBorder="1" applyAlignment="1">
      <alignment horizontal="center" vertical="top" textRotation="255"/>
    </xf>
    <xf numFmtId="176" fontId="0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11" fillId="0" borderId="0" xfId="0" applyNumberFormat="1" applyFont="1" applyAlignment="1">
      <alignment vertical="center"/>
    </xf>
    <xf numFmtId="0" fontId="7" fillId="0" borderId="22" xfId="0" applyFont="1" applyFill="1" applyBorder="1" applyAlignment="1">
      <alignment vertical="center" wrapText="1"/>
    </xf>
    <xf numFmtId="176" fontId="7" fillId="0" borderId="22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176" fontId="29" fillId="0" borderId="0" xfId="0" applyNumberFormat="1" applyFont="1" applyFill="1" applyBorder="1" applyAlignment="1">
      <alignment vertical="center" shrinkToFit="1"/>
    </xf>
    <xf numFmtId="176" fontId="28" fillId="0" borderId="0" xfId="0" applyNumberFormat="1" applyFont="1" applyFill="1" applyBorder="1" applyAlignment="1">
      <alignment vertical="top" wrapText="1"/>
    </xf>
    <xf numFmtId="176" fontId="7" fillId="0" borderId="0" xfId="0" applyNumberFormat="1" applyFont="1" applyFill="1" applyBorder="1" applyAlignment="1">
      <alignment vertical="center" shrinkToFit="1"/>
    </xf>
    <xf numFmtId="176" fontId="23" fillId="0" borderId="0" xfId="0" applyNumberFormat="1" applyFont="1" applyFill="1" applyBorder="1" applyAlignment="1">
      <alignment horizontal="right" vertical="center" wrapText="1" shrinkToFit="1"/>
    </xf>
    <xf numFmtId="176" fontId="23" fillId="0" borderId="0" xfId="0" applyNumberFormat="1" applyFont="1" applyFill="1" applyBorder="1" applyAlignment="1">
      <alignment horizontal="right" vertical="center" shrinkToFit="1"/>
    </xf>
    <xf numFmtId="176" fontId="11" fillId="0" borderId="0" xfId="0" applyNumberFormat="1" applyFont="1" applyBorder="1" applyAlignment="1">
      <alignment vertical="top" wrapText="1"/>
    </xf>
    <xf numFmtId="176" fontId="7" fillId="0" borderId="3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vertical="center" wrapText="1" shrinkToFit="1"/>
    </xf>
    <xf numFmtId="176" fontId="7" fillId="0" borderId="26" xfId="0" applyNumberFormat="1" applyFont="1" applyFill="1" applyBorder="1" applyAlignment="1">
      <alignment vertical="center" wrapText="1" shrinkToFit="1"/>
    </xf>
    <xf numFmtId="176" fontId="7" fillId="0" borderId="26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 wrapText="1" shrinkToFit="1"/>
    </xf>
    <xf numFmtId="176" fontId="7" fillId="0" borderId="0" xfId="0" applyNumberFormat="1" applyFont="1" applyFill="1" applyBorder="1" applyAlignment="1">
      <alignment horizontal="left" vertical="center" wrapText="1" shrinkToFit="1"/>
    </xf>
    <xf numFmtId="176" fontId="7" fillId="0" borderId="0" xfId="0" applyNumberFormat="1" applyFont="1" applyFill="1" applyBorder="1" applyAlignment="1">
      <alignment horizontal="left" vertical="center" shrinkToFit="1"/>
    </xf>
    <xf numFmtId="176" fontId="7" fillId="0" borderId="0" xfId="0" applyNumberFormat="1" applyFont="1" applyBorder="1" applyAlignment="1">
      <alignment vertical="top" wrapText="1"/>
    </xf>
    <xf numFmtId="176" fontId="0" fillId="0" borderId="0" xfId="0" applyNumberFormat="1" applyFont="1" applyAlignment="1">
      <alignment horizontal="right" vertical="center"/>
    </xf>
    <xf numFmtId="177" fontId="4" fillId="0" borderId="0" xfId="2" applyNumberFormat="1" applyFill="1" applyBorder="1" applyAlignment="1">
      <alignment horizontal="center" vertical="center"/>
    </xf>
    <xf numFmtId="177" fontId="4" fillId="0" borderId="15" xfId="2" applyNumberFormat="1" applyFill="1" applyBorder="1" applyAlignment="1">
      <alignment horizontal="center" vertical="center"/>
    </xf>
    <xf numFmtId="176" fontId="7" fillId="0" borderId="0" xfId="0" applyNumberFormat="1" applyFont="1" applyBorder="1" applyAlignment="1">
      <alignment vertical="top"/>
    </xf>
    <xf numFmtId="0" fontId="0" fillId="0" borderId="22" xfId="0" applyFill="1" applyBorder="1" applyAlignment="1">
      <alignment vertical="center" shrinkToFit="1"/>
    </xf>
    <xf numFmtId="176" fontId="23" fillId="0" borderId="14" xfId="0" applyNumberFormat="1" applyFont="1" applyFill="1" applyBorder="1" applyAlignment="1">
      <alignment horizontal="right" vertical="center" shrinkToFit="1"/>
    </xf>
    <xf numFmtId="176" fontId="23" fillId="0" borderId="27" xfId="0" applyNumberFormat="1" applyFont="1" applyFill="1" applyBorder="1" applyAlignment="1">
      <alignment horizontal="right" vertical="center" shrinkToFit="1"/>
    </xf>
    <xf numFmtId="176" fontId="12" fillId="2" borderId="32" xfId="1" applyNumberFormat="1" applyFont="1" applyFill="1" applyBorder="1" applyAlignment="1">
      <alignment vertical="center"/>
    </xf>
    <xf numFmtId="176" fontId="12" fillId="2" borderId="33" xfId="1" applyNumberFormat="1" applyFont="1" applyFill="1" applyBorder="1" applyAlignment="1">
      <alignment vertical="center"/>
    </xf>
    <xf numFmtId="176" fontId="10" fillId="2" borderId="1" xfId="1" applyNumberFormat="1" applyFont="1" applyFill="1" applyBorder="1" applyAlignment="1">
      <alignment horizontal="right" vertical="center"/>
    </xf>
    <xf numFmtId="176" fontId="12" fillId="2" borderId="39" xfId="1" applyNumberFormat="1" applyFont="1" applyFill="1" applyBorder="1" applyAlignment="1">
      <alignment vertical="center"/>
    </xf>
    <xf numFmtId="176" fontId="12" fillId="2" borderId="36" xfId="1" applyNumberFormat="1" applyFont="1" applyFill="1" applyBorder="1" applyAlignment="1">
      <alignment vertical="center"/>
    </xf>
    <xf numFmtId="179" fontId="4" fillId="0" borderId="0" xfId="2" applyNumberFormat="1" applyFont="1" applyFill="1" applyBorder="1" applyAlignment="1">
      <alignment vertical="center"/>
    </xf>
    <xf numFmtId="0" fontId="4" fillId="0" borderId="38" xfId="2" applyFill="1" applyBorder="1" applyAlignment="1">
      <alignment vertical="center"/>
    </xf>
    <xf numFmtId="177" fontId="4" fillId="0" borderId="6" xfId="2" applyNumberFormat="1" applyFill="1" applyBorder="1" applyAlignment="1">
      <alignment vertical="center"/>
    </xf>
    <xf numFmtId="177" fontId="4" fillId="0" borderId="7" xfId="2" applyNumberFormat="1" applyFill="1" applyBorder="1" applyAlignment="1">
      <alignment vertical="center"/>
    </xf>
    <xf numFmtId="0" fontId="4" fillId="0" borderId="6" xfId="2" applyFill="1" applyBorder="1" applyAlignment="1">
      <alignment vertical="center"/>
    </xf>
    <xf numFmtId="0" fontId="4" fillId="0" borderId="63" xfId="2" applyFill="1" applyBorder="1" applyAlignment="1">
      <alignment vertical="center"/>
    </xf>
    <xf numFmtId="177" fontId="4" fillId="0" borderId="15" xfId="2" applyNumberFormat="1" applyFill="1" applyBorder="1" applyAlignment="1">
      <alignment vertical="center"/>
    </xf>
    <xf numFmtId="177" fontId="4" fillId="0" borderId="49" xfId="2" applyNumberFormat="1" applyFill="1" applyBorder="1" applyAlignment="1">
      <alignment horizontal="right" vertical="center"/>
    </xf>
    <xf numFmtId="0" fontId="4" fillId="0" borderId="15" xfId="2" applyFill="1" applyBorder="1" applyAlignment="1">
      <alignment vertical="center"/>
    </xf>
    <xf numFmtId="0" fontId="4" fillId="0" borderId="27" xfId="2" applyFill="1" applyBorder="1" applyAlignment="1">
      <alignment horizontal="right" vertical="center"/>
    </xf>
    <xf numFmtId="177" fontId="4" fillId="0" borderId="15" xfId="2" applyNumberFormat="1" applyFill="1" applyBorder="1" applyAlignment="1">
      <alignment horizontal="right" vertical="center"/>
    </xf>
    <xf numFmtId="0" fontId="4" fillId="0" borderId="15" xfId="2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11" fillId="0" borderId="13" xfId="1" applyFont="1" applyFill="1" applyBorder="1" applyAlignment="1">
      <alignment horizontal="center" vertical="center" wrapText="1"/>
    </xf>
    <xf numFmtId="176" fontId="12" fillId="0" borderId="31" xfId="1" applyNumberFormat="1" applyFont="1" applyFill="1" applyBorder="1" applyAlignment="1">
      <alignment vertical="center"/>
    </xf>
    <xf numFmtId="176" fontId="12" fillId="0" borderId="106" xfId="1" applyNumberFormat="1" applyFont="1" applyFill="1" applyBorder="1" applyAlignment="1">
      <alignment vertical="center"/>
    </xf>
    <xf numFmtId="176" fontId="10" fillId="0" borderId="107" xfId="1" applyNumberFormat="1" applyFont="1" applyFill="1" applyBorder="1" applyAlignment="1">
      <alignment vertical="center"/>
    </xf>
    <xf numFmtId="176" fontId="10" fillId="0" borderId="108" xfId="1" applyNumberFormat="1" applyFont="1" applyFill="1" applyBorder="1" applyAlignment="1">
      <alignment vertical="center"/>
    </xf>
    <xf numFmtId="176" fontId="10" fillId="0" borderId="106" xfId="1" applyNumberFormat="1" applyFont="1" applyFill="1" applyBorder="1" applyAlignment="1">
      <alignment vertical="center"/>
    </xf>
    <xf numFmtId="176" fontId="10" fillId="0" borderId="107" xfId="1" applyNumberFormat="1" applyFont="1" applyFill="1" applyBorder="1" applyAlignment="1">
      <alignment horizontal="right" vertical="center"/>
    </xf>
    <xf numFmtId="176" fontId="10" fillId="0" borderId="13" xfId="1" applyNumberFormat="1" applyFont="1" applyFill="1" applyBorder="1" applyAlignment="1">
      <alignment vertical="center"/>
    </xf>
    <xf numFmtId="0" fontId="14" fillId="0" borderId="113" xfId="1" applyFont="1" applyBorder="1" applyAlignment="1">
      <alignment horizontal="center" vertical="center" wrapText="1"/>
    </xf>
    <xf numFmtId="176" fontId="10" fillId="0" borderId="116" xfId="1" applyNumberFormat="1" applyFont="1" applyFill="1" applyBorder="1" applyAlignment="1">
      <alignment vertical="center" wrapText="1"/>
    </xf>
    <xf numFmtId="176" fontId="10" fillId="0" borderId="111" xfId="1" applyNumberFormat="1" applyFont="1" applyFill="1" applyBorder="1" applyAlignment="1">
      <alignment vertical="center" wrapText="1"/>
    </xf>
    <xf numFmtId="0" fontId="4" fillId="0" borderId="7" xfId="2" applyFill="1" applyBorder="1" applyAlignment="1">
      <alignment vertical="center"/>
    </xf>
    <xf numFmtId="0" fontId="4" fillId="0" borderId="0" xfId="2" applyFill="1">
      <alignment vertical="center"/>
    </xf>
    <xf numFmtId="176" fontId="10" fillId="0" borderId="128" xfId="1" applyNumberFormat="1" applyFont="1" applyFill="1" applyBorder="1" applyAlignment="1">
      <alignment horizontal="left" vertical="center"/>
    </xf>
    <xf numFmtId="0" fontId="28" fillId="2" borderId="16" xfId="1" applyFont="1" applyFill="1" applyBorder="1" applyAlignment="1">
      <alignment horizontal="center" vertical="center" wrapText="1"/>
    </xf>
    <xf numFmtId="0" fontId="28" fillId="2" borderId="23" xfId="1" applyFont="1" applyFill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vertical="center" wrapText="1"/>
    </xf>
    <xf numFmtId="176" fontId="22" fillId="0" borderId="0" xfId="0" applyNumberFormat="1" applyFont="1" applyFill="1" applyBorder="1" applyAlignment="1">
      <alignment horizontal="left" vertical="center"/>
    </xf>
    <xf numFmtId="176" fontId="22" fillId="0" borderId="0" xfId="0" applyNumberFormat="1" applyFont="1" applyFill="1" applyBorder="1" applyAlignment="1">
      <alignment vertical="center" wrapText="1"/>
    </xf>
    <xf numFmtId="176" fontId="7" fillId="0" borderId="43" xfId="1" applyNumberFormat="1" applyFont="1" applyFill="1" applyBorder="1" applyAlignment="1">
      <alignment vertical="center"/>
    </xf>
    <xf numFmtId="176" fontId="7" fillId="2" borderId="43" xfId="1" applyNumberFormat="1" applyFont="1" applyFill="1" applyBorder="1" applyAlignment="1">
      <alignment vertical="center"/>
    </xf>
    <xf numFmtId="176" fontId="7" fillId="2" borderId="117" xfId="1" applyNumberFormat="1" applyFont="1" applyFill="1" applyBorder="1" applyAlignment="1">
      <alignment vertical="center"/>
    </xf>
    <xf numFmtId="176" fontId="7" fillId="0" borderId="109" xfId="1" applyNumberFormat="1" applyFont="1" applyFill="1" applyBorder="1" applyAlignment="1">
      <alignment vertical="center"/>
    </xf>
    <xf numFmtId="176" fontId="7" fillId="0" borderId="44" xfId="1" applyNumberFormat="1" applyFont="1" applyFill="1" applyBorder="1" applyAlignment="1">
      <alignment horizontal="right" vertical="center"/>
    </xf>
    <xf numFmtId="176" fontId="7" fillId="0" borderId="45" xfId="1" applyNumberFormat="1" applyFont="1" applyFill="1" applyBorder="1" applyAlignment="1">
      <alignment horizontal="right" vertical="center"/>
    </xf>
    <xf numFmtId="176" fontId="7" fillId="0" borderId="115" xfId="1" applyNumberFormat="1" applyFont="1" applyFill="1" applyBorder="1" applyAlignment="1">
      <alignment horizontal="right" vertical="center"/>
    </xf>
    <xf numFmtId="176" fontId="7" fillId="2" borderId="109" xfId="1" applyNumberFormat="1" applyFont="1" applyFill="1" applyBorder="1" applyAlignment="1">
      <alignment horizontal="right" vertical="center"/>
    </xf>
    <xf numFmtId="176" fontId="7" fillId="0" borderId="113" xfId="1" applyNumberFormat="1" applyFont="1" applyFill="1" applyBorder="1" applyAlignment="1">
      <alignment horizontal="right" vertical="center"/>
    </xf>
    <xf numFmtId="176" fontId="7" fillId="2" borderId="109" xfId="1" applyNumberFormat="1" applyFont="1" applyFill="1" applyBorder="1" applyAlignment="1">
      <alignment vertical="center"/>
    </xf>
    <xf numFmtId="176" fontId="7" fillId="0" borderId="114" xfId="1" applyNumberFormat="1" applyFont="1" applyFill="1" applyBorder="1" applyAlignment="1">
      <alignment vertical="center"/>
    </xf>
    <xf numFmtId="176" fontId="7" fillId="0" borderId="48" xfId="1" applyNumberFormat="1" applyFont="1" applyFill="1" applyBorder="1" applyAlignment="1">
      <alignment horizontal="right" vertical="center"/>
    </xf>
    <xf numFmtId="176" fontId="7" fillId="0" borderId="110" xfId="1" applyNumberFormat="1" applyFont="1" applyFill="1" applyBorder="1" applyAlignment="1">
      <alignment horizontal="right" vertical="center"/>
    </xf>
    <xf numFmtId="176" fontId="7" fillId="0" borderId="47" xfId="1" applyNumberFormat="1" applyFont="1" applyFill="1" applyBorder="1" applyAlignment="1">
      <alignment horizontal="right" vertical="center"/>
    </xf>
    <xf numFmtId="176" fontId="7" fillId="0" borderId="112" xfId="1" applyNumberFormat="1" applyFont="1" applyFill="1" applyBorder="1" applyAlignment="1">
      <alignment horizontal="right" vertical="center"/>
    </xf>
    <xf numFmtId="176" fontId="7" fillId="2" borderId="32" xfId="1" applyNumberFormat="1" applyFont="1" applyFill="1" applyBorder="1" applyAlignment="1">
      <alignment vertical="center"/>
    </xf>
    <xf numFmtId="176" fontId="7" fillId="2" borderId="60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126" xfId="1" applyNumberFormat="1" applyFont="1" applyFill="1" applyBorder="1" applyAlignment="1">
      <alignment vertical="center"/>
    </xf>
    <xf numFmtId="176" fontId="7" fillId="0" borderId="109" xfId="1" applyNumberFormat="1" applyFont="1" applyFill="1" applyBorder="1" applyAlignment="1">
      <alignment horizontal="right" vertical="center"/>
    </xf>
    <xf numFmtId="176" fontId="7" fillId="0" borderId="50" xfId="1" applyNumberFormat="1" applyFont="1" applyFill="1" applyBorder="1" applyAlignment="1">
      <alignment horizontal="right" vertical="center"/>
    </xf>
    <xf numFmtId="176" fontId="7" fillId="0" borderId="51" xfId="1" applyNumberFormat="1" applyFont="1" applyFill="1" applyBorder="1" applyAlignment="1">
      <alignment horizontal="right" vertical="center"/>
    </xf>
    <xf numFmtId="176" fontId="7" fillId="0" borderId="126" xfId="1" applyNumberFormat="1" applyFont="1" applyFill="1" applyBorder="1" applyAlignment="1">
      <alignment horizontal="right" vertical="center"/>
    </xf>
    <xf numFmtId="176" fontId="7" fillId="0" borderId="127" xfId="1" applyNumberFormat="1" applyFont="1" applyFill="1" applyBorder="1" applyAlignment="1">
      <alignment horizontal="right" vertical="center"/>
    </xf>
    <xf numFmtId="176" fontId="7" fillId="0" borderId="114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center" vertical="center"/>
    </xf>
    <xf numFmtId="176" fontId="7" fillId="2" borderId="114" xfId="1" applyNumberFormat="1" applyFont="1" applyFill="1" applyBorder="1" applyAlignment="1">
      <alignment vertical="center"/>
    </xf>
    <xf numFmtId="176" fontId="7" fillId="2" borderId="129" xfId="1" applyNumberFormat="1" applyFont="1" applyFill="1" applyBorder="1" applyAlignment="1">
      <alignment horizontal="right" vertical="center"/>
    </xf>
    <xf numFmtId="176" fontId="7" fillId="2" borderId="1" xfId="1" applyNumberFormat="1" applyFont="1" applyFill="1" applyBorder="1" applyAlignment="1">
      <alignment vertical="center"/>
    </xf>
    <xf numFmtId="176" fontId="7" fillId="2" borderId="42" xfId="1" applyNumberFormat="1" applyFont="1" applyFill="1" applyBorder="1" applyAlignment="1">
      <alignment vertical="center"/>
    </xf>
    <xf numFmtId="176" fontId="7" fillId="0" borderId="33" xfId="1" applyNumberFormat="1" applyFont="1" applyFill="1" applyBorder="1" applyAlignment="1">
      <alignment horizontal="center" vertical="center"/>
    </xf>
    <xf numFmtId="176" fontId="7" fillId="2" borderId="36" xfId="1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vertical="center"/>
    </xf>
    <xf numFmtId="176" fontId="7" fillId="2" borderId="16" xfId="1" applyNumberFormat="1" applyFont="1" applyFill="1" applyBorder="1" applyAlignment="1">
      <alignment vertical="center"/>
    </xf>
    <xf numFmtId="176" fontId="7" fillId="2" borderId="23" xfId="1" applyNumberFormat="1" applyFont="1" applyFill="1" applyBorder="1" applyAlignment="1">
      <alignment vertical="center"/>
    </xf>
    <xf numFmtId="176" fontId="0" fillId="0" borderId="0" xfId="0" applyNumberFormat="1" applyFont="1" applyAlignment="1">
      <alignment horizontal="right" vertical="center"/>
    </xf>
    <xf numFmtId="176" fontId="33" fillId="0" borderId="0" xfId="0" applyNumberFormat="1" applyFont="1" applyAlignment="1">
      <alignment vertical="center"/>
    </xf>
    <xf numFmtId="0" fontId="37" fillId="0" borderId="0" xfId="2" applyFont="1" applyAlignment="1">
      <alignment horizontal="left" vertical="center"/>
    </xf>
    <xf numFmtId="177" fontId="4" fillId="0" borderId="0" xfId="2" applyNumberFormat="1" applyFill="1" applyBorder="1" applyAlignment="1">
      <alignment horizontal="center" vertical="center"/>
    </xf>
    <xf numFmtId="0" fontId="4" fillId="0" borderId="0" xfId="2" applyBorder="1" applyAlignment="1">
      <alignment horizontal="center" vertical="top" textRotation="255"/>
    </xf>
    <xf numFmtId="0" fontId="2" fillId="0" borderId="0" xfId="2" applyFont="1" applyAlignment="1">
      <alignment horizontal="left" vertical="center"/>
    </xf>
    <xf numFmtId="177" fontId="4" fillId="0" borderId="0" xfId="2" applyNumberFormat="1" applyFill="1" applyBorder="1" applyAlignment="1">
      <alignment horizontal="center" vertical="center"/>
    </xf>
    <xf numFmtId="177" fontId="38" fillId="0" borderId="7" xfId="2" applyNumberFormat="1" applyFont="1" applyFill="1" applyBorder="1" applyAlignment="1">
      <alignment vertical="center"/>
    </xf>
    <xf numFmtId="177" fontId="32" fillId="0" borderId="0" xfId="2" applyNumberFormat="1" applyFont="1" applyFill="1" applyBorder="1" applyAlignment="1">
      <alignment horizontal="left" vertical="center"/>
    </xf>
    <xf numFmtId="0" fontId="37" fillId="0" borderId="0" xfId="2" applyFont="1" applyBorder="1">
      <alignment vertical="center"/>
    </xf>
    <xf numFmtId="176" fontId="38" fillId="0" borderId="0" xfId="2" applyNumberFormat="1" applyFont="1" applyFill="1" applyBorder="1" applyAlignment="1">
      <alignment horizontal="center" vertical="center"/>
    </xf>
    <xf numFmtId="0" fontId="4" fillId="0" borderId="0" xfId="2" applyFill="1" applyBorder="1" applyAlignment="1">
      <alignment horizontal="center" vertical="center" shrinkToFit="1"/>
    </xf>
    <xf numFmtId="0" fontId="4" fillId="0" borderId="0" xfId="2" applyFill="1" applyBorder="1" applyAlignment="1">
      <alignment horizontal="center" vertical="center"/>
    </xf>
    <xf numFmtId="0" fontId="1" fillId="0" borderId="0" xfId="2" applyFont="1" applyAlignment="1">
      <alignment horizontal="right" vertical="center"/>
    </xf>
    <xf numFmtId="176" fontId="37" fillId="0" borderId="0" xfId="0" applyNumberFormat="1" applyFont="1" applyAlignment="1"/>
    <xf numFmtId="176" fontId="23" fillId="0" borderId="28" xfId="0" applyNumberFormat="1" applyFont="1" applyFill="1" applyBorder="1" applyAlignment="1">
      <alignment horizontal="right" vertical="center" shrinkToFit="1"/>
    </xf>
    <xf numFmtId="176" fontId="23" fillId="0" borderId="29" xfId="0" applyNumberFormat="1" applyFont="1" applyFill="1" applyBorder="1" applyAlignment="1">
      <alignment horizontal="right" vertical="center" shrinkToFit="1"/>
    </xf>
    <xf numFmtId="176" fontId="23" fillId="0" borderId="87" xfId="0" applyNumberFormat="1" applyFont="1" applyFill="1" applyBorder="1" applyAlignment="1">
      <alignment vertical="center" shrinkToFit="1"/>
    </xf>
    <xf numFmtId="176" fontId="23" fillId="0" borderId="89" xfId="0" applyNumberFormat="1" applyFont="1" applyFill="1" applyBorder="1" applyAlignment="1">
      <alignment vertical="center" shrinkToFit="1"/>
    </xf>
    <xf numFmtId="176" fontId="23" fillId="0" borderId="96" xfId="0" applyNumberFormat="1" applyFont="1" applyFill="1" applyBorder="1" applyAlignment="1">
      <alignment vertical="center" shrinkToFit="1"/>
    </xf>
    <xf numFmtId="176" fontId="23" fillId="0" borderId="98" xfId="0" applyNumberFormat="1" applyFont="1" applyFill="1" applyBorder="1" applyAlignment="1">
      <alignment vertical="center" shrinkToFit="1"/>
    </xf>
    <xf numFmtId="176" fontId="22" fillId="0" borderId="18" xfId="0" applyNumberFormat="1" applyFont="1" applyFill="1" applyBorder="1" applyAlignment="1">
      <alignment horizontal="center" vertical="center" wrapText="1" shrinkToFit="1"/>
    </xf>
    <xf numFmtId="176" fontId="22" fillId="0" borderId="20" xfId="0" applyNumberFormat="1" applyFont="1" applyFill="1" applyBorder="1" applyAlignment="1">
      <alignment horizontal="center" vertical="center" wrapText="1" shrinkToFit="1"/>
    </xf>
    <xf numFmtId="176" fontId="22" fillId="0" borderId="22" xfId="0" applyNumberFormat="1" applyFont="1" applyFill="1" applyBorder="1" applyAlignment="1">
      <alignment horizontal="center" vertical="center" wrapText="1" shrinkToFit="1"/>
    </xf>
    <xf numFmtId="176" fontId="22" fillId="0" borderId="30" xfId="0" applyNumberFormat="1" applyFont="1" applyFill="1" applyBorder="1" applyAlignment="1">
      <alignment horizontal="center" vertical="center" wrapText="1" shrinkToFit="1"/>
    </xf>
    <xf numFmtId="176" fontId="22" fillId="0" borderId="14" xfId="0" applyNumberFormat="1" applyFont="1" applyFill="1" applyBorder="1" applyAlignment="1">
      <alignment horizontal="center" vertical="center" wrapText="1" shrinkToFit="1"/>
    </xf>
    <xf numFmtId="176" fontId="22" fillId="0" borderId="27" xfId="0" applyNumberFormat="1" applyFont="1" applyFill="1" applyBorder="1" applyAlignment="1">
      <alignment horizontal="center" vertical="center" wrapText="1" shrinkToFit="1"/>
    </xf>
    <xf numFmtId="176" fontId="21" fillId="0" borderId="12" xfId="0" applyNumberFormat="1" applyFont="1" applyFill="1" applyBorder="1" applyAlignment="1">
      <alignment horizontal="right" vertical="center" wrapText="1" shrinkToFit="1"/>
    </xf>
    <xf numFmtId="176" fontId="21" fillId="0" borderId="76" xfId="0" applyNumberFormat="1" applyFont="1" applyFill="1" applyBorder="1" applyAlignment="1">
      <alignment horizontal="right" vertical="center" shrinkToFit="1"/>
    </xf>
    <xf numFmtId="176" fontId="22" fillId="0" borderId="11" xfId="0" applyNumberFormat="1" applyFont="1" applyFill="1" applyBorder="1" applyAlignment="1">
      <alignment horizontal="left" vertical="center" wrapText="1" shrinkToFit="1"/>
    </xf>
    <xf numFmtId="176" fontId="22" fillId="0" borderId="76" xfId="0" applyNumberFormat="1" applyFont="1" applyFill="1" applyBorder="1" applyAlignment="1">
      <alignment horizontal="left" vertical="center" shrinkToFit="1"/>
    </xf>
    <xf numFmtId="176" fontId="23" fillId="0" borderId="16" xfId="0" applyNumberFormat="1" applyFont="1" applyFill="1" applyBorder="1" applyAlignment="1">
      <alignment horizontal="right" vertical="center" shrinkToFit="1"/>
    </xf>
    <xf numFmtId="176" fontId="23" fillId="0" borderId="23" xfId="0" applyNumberFormat="1" applyFont="1" applyFill="1" applyBorder="1" applyAlignment="1">
      <alignment horizontal="right" vertical="center" shrinkToFit="1"/>
    </xf>
    <xf numFmtId="176" fontId="21" fillId="0" borderId="82" xfId="0" applyNumberFormat="1" applyFont="1" applyFill="1" applyBorder="1" applyAlignment="1">
      <alignment vertical="center" shrinkToFit="1"/>
    </xf>
    <xf numFmtId="176" fontId="21" fillId="0" borderId="100" xfId="0" applyNumberFormat="1" applyFont="1" applyFill="1" applyBorder="1" applyAlignment="1">
      <alignment vertical="center" shrinkToFit="1"/>
    </xf>
    <xf numFmtId="176" fontId="22" fillId="0" borderId="94" xfId="0" applyNumberFormat="1" applyFont="1" applyFill="1" applyBorder="1" applyAlignment="1">
      <alignment vertical="center" shrinkToFit="1"/>
    </xf>
    <xf numFmtId="176" fontId="22" fillId="0" borderId="131" xfId="0" applyNumberFormat="1" applyFont="1" applyFill="1" applyBorder="1" applyAlignment="1">
      <alignment vertical="center" shrinkToFit="1"/>
    </xf>
    <xf numFmtId="176" fontId="23" fillId="0" borderId="130" xfId="0" applyNumberFormat="1" applyFont="1" applyFill="1" applyBorder="1" applyAlignment="1">
      <alignment horizontal="right" vertical="center" wrapText="1" shrinkToFit="1"/>
    </xf>
    <xf numFmtId="176" fontId="23" fillId="0" borderId="132" xfId="0" applyNumberFormat="1" applyFont="1" applyFill="1" applyBorder="1" applyAlignment="1">
      <alignment horizontal="right" vertical="center" shrinkToFit="1"/>
    </xf>
    <xf numFmtId="176" fontId="23" fillId="0" borderId="133" xfId="0" applyNumberFormat="1" applyFont="1" applyFill="1" applyBorder="1" applyAlignment="1">
      <alignment horizontal="right" vertical="center" shrinkToFit="1"/>
    </xf>
    <xf numFmtId="176" fontId="30" fillId="0" borderId="94" xfId="0" applyNumberFormat="1" applyFont="1" applyFill="1" applyBorder="1" applyAlignment="1">
      <alignment vertical="center" shrinkToFit="1"/>
    </xf>
    <xf numFmtId="176" fontId="30" fillId="0" borderId="131" xfId="0" applyNumberFormat="1" applyFont="1" applyFill="1" applyBorder="1" applyAlignment="1">
      <alignment vertical="center" shrinkToFit="1"/>
    </xf>
    <xf numFmtId="176" fontId="11" fillId="0" borderId="11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176" fontId="11" fillId="0" borderId="11" xfId="0" applyNumberFormat="1" applyFont="1" applyBorder="1" applyAlignment="1">
      <alignment horizontal="center" vertical="top" wrapText="1" shrinkToFit="1"/>
    </xf>
    <xf numFmtId="176" fontId="11" fillId="0" borderId="76" xfId="0" applyNumberFormat="1" applyFont="1" applyBorder="1" applyAlignment="1">
      <alignment horizontal="center" vertical="top" shrinkToFit="1"/>
    </xf>
    <xf numFmtId="176" fontId="11" fillId="0" borderId="77" xfId="0" applyNumberFormat="1" applyFont="1" applyBorder="1" applyAlignment="1">
      <alignment horizontal="center" vertical="top" wrapText="1" shrinkToFit="1"/>
    </xf>
    <xf numFmtId="176" fontId="11" fillId="0" borderId="16" xfId="0" applyNumberFormat="1" applyFont="1" applyBorder="1" applyAlignment="1">
      <alignment horizontal="center" vertical="top" shrinkToFit="1"/>
    </xf>
    <xf numFmtId="176" fontId="11" fillId="0" borderId="16" xfId="0" applyNumberFormat="1" applyFont="1" applyFill="1" applyBorder="1" applyAlignment="1">
      <alignment horizontal="center" vertical="top" wrapText="1" shrinkToFit="1"/>
    </xf>
    <xf numFmtId="176" fontId="11" fillId="0" borderId="16" xfId="0" applyNumberFormat="1" applyFont="1" applyFill="1" applyBorder="1" applyAlignment="1">
      <alignment horizontal="center" vertical="top" shrinkToFit="1"/>
    </xf>
    <xf numFmtId="176" fontId="11" fillId="2" borderId="16" xfId="0" applyNumberFormat="1" applyFont="1" applyFill="1" applyBorder="1" applyAlignment="1">
      <alignment horizontal="center" vertical="top" wrapText="1" shrinkToFit="1"/>
    </xf>
    <xf numFmtId="176" fontId="11" fillId="2" borderId="78" xfId="0" applyNumberFormat="1" applyFont="1" applyFill="1" applyBorder="1" applyAlignment="1">
      <alignment horizontal="center" vertical="top" shrinkToFit="1"/>
    </xf>
    <xf numFmtId="176" fontId="11" fillId="2" borderId="12" xfId="0" applyNumberFormat="1" applyFont="1" applyFill="1" applyBorder="1" applyAlignment="1">
      <alignment horizontal="center" vertical="top" wrapText="1" shrinkToFit="1"/>
    </xf>
    <xf numFmtId="176" fontId="11" fillId="2" borderId="76" xfId="0" applyNumberFormat="1" applyFont="1" applyFill="1" applyBorder="1" applyAlignment="1">
      <alignment horizontal="center" vertical="top" shrinkToFit="1"/>
    </xf>
    <xf numFmtId="176" fontId="7" fillId="0" borderId="18" xfId="0" applyNumberFormat="1" applyFont="1" applyFill="1" applyBorder="1" applyAlignment="1">
      <alignment vertical="center" wrapText="1" shrinkToFit="1"/>
    </xf>
    <xf numFmtId="0" fontId="7" fillId="0" borderId="19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176" fontId="21" fillId="0" borderId="11" xfId="0" applyNumberFormat="1" applyFont="1" applyFill="1" applyBorder="1" applyAlignment="1">
      <alignment horizontal="right" vertical="center" shrinkToFit="1"/>
    </xf>
    <xf numFmtId="176" fontId="21" fillId="0" borderId="11" xfId="0" applyNumberFormat="1" applyFont="1" applyFill="1" applyBorder="1" applyAlignment="1">
      <alignment horizontal="right" vertical="center" wrapText="1" shrinkToFit="1"/>
    </xf>
    <xf numFmtId="176" fontId="21" fillId="0" borderId="17" xfId="0" applyNumberFormat="1" applyFont="1" applyFill="1" applyBorder="1" applyAlignment="1">
      <alignment horizontal="right" vertical="center" wrapText="1" shrinkToFit="1"/>
    </xf>
    <xf numFmtId="176" fontId="21" fillId="0" borderId="78" xfId="0" applyNumberFormat="1" applyFont="1" applyFill="1" applyBorder="1" applyAlignment="1">
      <alignment horizontal="right" vertical="center" wrapText="1" shrinkToFit="1"/>
    </xf>
    <xf numFmtId="176" fontId="21" fillId="0" borderId="76" xfId="0" applyNumberFormat="1" applyFont="1" applyFill="1" applyBorder="1" applyAlignment="1">
      <alignment horizontal="right" vertical="center" wrapText="1" shrinkToFit="1"/>
    </xf>
    <xf numFmtId="176" fontId="23" fillId="0" borderId="11" xfId="0" applyNumberFormat="1" applyFont="1" applyFill="1" applyBorder="1" applyAlignment="1">
      <alignment horizontal="right" vertical="center" wrapText="1" shrinkToFit="1"/>
    </xf>
    <xf numFmtId="176" fontId="23" fillId="0" borderId="17" xfId="0" applyNumberFormat="1" applyFont="1" applyFill="1" applyBorder="1" applyAlignment="1">
      <alignment horizontal="right" vertical="center" wrapText="1" shrinkToFit="1"/>
    </xf>
    <xf numFmtId="176" fontId="11" fillId="0" borderId="78" xfId="0" applyNumberFormat="1" applyFont="1" applyFill="1" applyBorder="1" applyAlignment="1">
      <alignment horizontal="center" vertical="top" shrinkToFit="1"/>
    </xf>
    <xf numFmtId="176" fontId="11" fillId="0" borderId="77" xfId="0" applyNumberFormat="1" applyFont="1" applyFill="1" applyBorder="1" applyAlignment="1">
      <alignment horizontal="center" vertical="top" wrapText="1" shrinkToFit="1"/>
    </xf>
    <xf numFmtId="176" fontId="11" fillId="2" borderId="79" xfId="0" applyNumberFormat="1" applyFont="1" applyFill="1" applyBorder="1" applyAlignment="1">
      <alignment horizontal="center" vertical="top" shrinkToFit="1"/>
    </xf>
    <xf numFmtId="176" fontId="11" fillId="0" borderId="17" xfId="0" applyNumberFormat="1" applyFont="1" applyFill="1" applyBorder="1" applyAlignment="1">
      <alignment horizontal="center" vertical="top" wrapText="1" shrinkToFit="1"/>
    </xf>
    <xf numFmtId="176" fontId="23" fillId="9" borderId="78" xfId="0" applyNumberFormat="1" applyFont="1" applyFill="1" applyBorder="1" applyAlignment="1">
      <alignment horizontal="right" vertical="center" wrapText="1" shrinkToFit="1"/>
    </xf>
    <xf numFmtId="176" fontId="23" fillId="9" borderId="76" xfId="0" applyNumberFormat="1" applyFont="1" applyFill="1" applyBorder="1" applyAlignment="1">
      <alignment horizontal="right" vertical="center" wrapText="1" shrinkToFit="1"/>
    </xf>
    <xf numFmtId="176" fontId="23" fillId="0" borderId="78" xfId="0" applyNumberFormat="1" applyFont="1" applyFill="1" applyBorder="1" applyAlignment="1">
      <alignment horizontal="right" vertical="center" wrapText="1" shrinkToFit="1"/>
    </xf>
    <xf numFmtId="176" fontId="23" fillId="9" borderId="134" xfId="0" applyNumberFormat="1" applyFont="1" applyFill="1" applyBorder="1" applyAlignment="1">
      <alignment horizontal="right" vertical="center" wrapText="1" shrinkToFit="1"/>
    </xf>
    <xf numFmtId="176" fontId="0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20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vertical="center"/>
    </xf>
    <xf numFmtId="176" fontId="7" fillId="0" borderId="76" xfId="0" applyNumberFormat="1" applyFont="1" applyBorder="1" applyAlignment="1">
      <alignment vertical="center"/>
    </xf>
    <xf numFmtId="176" fontId="7" fillId="3" borderId="11" xfId="0" applyNumberFormat="1" applyFont="1" applyFill="1" applyBorder="1" applyAlignment="1">
      <alignment horizontal="left" vertical="center"/>
    </xf>
    <xf numFmtId="176" fontId="7" fillId="3" borderId="12" xfId="0" applyNumberFormat="1" applyFont="1" applyFill="1" applyBorder="1" applyAlignment="1">
      <alignment horizontal="left" vertical="center"/>
    </xf>
    <xf numFmtId="176" fontId="7" fillId="3" borderId="76" xfId="0" applyNumberFormat="1" applyFont="1" applyFill="1" applyBorder="1" applyAlignment="1">
      <alignment horizontal="left" vertical="center"/>
    </xf>
    <xf numFmtId="176" fontId="10" fillId="3" borderId="13" xfId="0" applyNumberFormat="1" applyFont="1" applyFill="1" applyBorder="1" applyAlignment="1">
      <alignment horizontal="center" vertical="center"/>
    </xf>
    <xf numFmtId="176" fontId="7" fillId="3" borderId="13" xfId="0" applyNumberFormat="1" applyFont="1" applyFill="1" applyBorder="1" applyAlignment="1">
      <alignment horizontal="center" vertical="center"/>
    </xf>
    <xf numFmtId="176" fontId="7" fillId="3" borderId="13" xfId="0" applyNumberFormat="1" applyFont="1" applyFill="1" applyBorder="1" applyAlignment="1">
      <alignment horizontal="center" vertical="center" shrinkToFit="1"/>
    </xf>
    <xf numFmtId="176" fontId="7" fillId="4" borderId="14" xfId="0" applyNumberFormat="1" applyFont="1" applyFill="1" applyBorder="1" applyAlignment="1">
      <alignment horizontal="left" vertical="center"/>
    </xf>
    <xf numFmtId="176" fontId="7" fillId="4" borderId="15" xfId="0" applyNumberFormat="1" applyFont="1" applyFill="1" applyBorder="1" applyAlignment="1">
      <alignment horizontal="left" vertical="center"/>
    </xf>
    <xf numFmtId="176" fontId="10" fillId="4" borderId="13" xfId="0" applyNumberFormat="1" applyFont="1" applyFill="1" applyBorder="1" applyAlignment="1">
      <alignment horizontal="center" vertical="center" shrinkToFit="1"/>
    </xf>
    <xf numFmtId="176" fontId="10" fillId="4" borderId="13" xfId="0" applyNumberFormat="1" applyFont="1" applyFill="1" applyBorder="1" applyAlignment="1">
      <alignment horizontal="center" vertical="center"/>
    </xf>
    <xf numFmtId="176" fontId="7" fillId="4" borderId="13" xfId="0" applyNumberFormat="1" applyFont="1" applyFill="1" applyBorder="1" applyAlignment="1">
      <alignment horizontal="center" vertical="center"/>
    </xf>
    <xf numFmtId="176" fontId="7" fillId="4" borderId="13" xfId="0" applyNumberFormat="1" applyFont="1" applyFill="1" applyBorder="1" applyAlignment="1">
      <alignment horizontal="center" vertical="center" shrinkToFit="1"/>
    </xf>
    <xf numFmtId="0" fontId="20" fillId="0" borderId="0" xfId="2" applyFont="1" applyAlignment="1">
      <alignment horizontal="left" vertical="center"/>
    </xf>
    <xf numFmtId="0" fontId="7" fillId="11" borderId="11" xfId="0" applyFont="1" applyFill="1" applyBorder="1" applyAlignment="1">
      <alignment vertical="center" wrapText="1"/>
    </xf>
    <xf numFmtId="0" fontId="0" fillId="11" borderId="12" xfId="0" applyFill="1" applyBorder="1" applyAlignment="1">
      <alignment vertical="center"/>
    </xf>
    <xf numFmtId="0" fontId="0" fillId="11" borderId="76" xfId="0" applyFill="1" applyBorder="1" applyAlignment="1">
      <alignment vertical="center"/>
    </xf>
    <xf numFmtId="176" fontId="23" fillId="11" borderId="11" xfId="0" applyNumberFormat="1" applyFont="1" applyFill="1" applyBorder="1" applyAlignment="1">
      <alignment horizontal="right" vertical="center" shrinkToFit="1"/>
    </xf>
    <xf numFmtId="176" fontId="23" fillId="11" borderId="76" xfId="0" applyNumberFormat="1" applyFont="1" applyFill="1" applyBorder="1" applyAlignment="1">
      <alignment horizontal="right" vertical="center" shrinkToFit="1"/>
    </xf>
    <xf numFmtId="176" fontId="7" fillId="11" borderId="11" xfId="0" applyNumberFormat="1" applyFont="1" applyFill="1" applyBorder="1" applyAlignment="1">
      <alignment vertical="center" shrinkToFit="1"/>
    </xf>
    <xf numFmtId="176" fontId="7" fillId="11" borderId="17" xfId="0" applyNumberFormat="1" applyFont="1" applyFill="1" applyBorder="1" applyAlignment="1">
      <alignment vertical="center" shrinkToFit="1"/>
    </xf>
    <xf numFmtId="176" fontId="7" fillId="11" borderId="78" xfId="0" applyNumberFormat="1" applyFont="1" applyFill="1" applyBorder="1" applyAlignment="1">
      <alignment vertical="center" shrinkToFit="1"/>
    </xf>
    <xf numFmtId="176" fontId="7" fillId="11" borderId="76" xfId="0" applyNumberFormat="1" applyFont="1" applyFill="1" applyBorder="1" applyAlignment="1">
      <alignment vertical="center" shrinkToFit="1"/>
    </xf>
    <xf numFmtId="176" fontId="7" fillId="11" borderId="134" xfId="0" applyNumberFormat="1" applyFont="1" applyFill="1" applyBorder="1" applyAlignment="1">
      <alignment vertical="center" shrinkToFit="1"/>
    </xf>
    <xf numFmtId="176" fontId="23" fillId="0" borderId="80" xfId="0" applyNumberFormat="1" applyFont="1" applyFill="1" applyBorder="1" applyAlignment="1">
      <alignment horizontal="right" vertical="center" wrapText="1" shrinkToFit="1"/>
    </xf>
    <xf numFmtId="176" fontId="7" fillId="11" borderId="80" xfId="0" applyNumberFormat="1" applyFont="1" applyFill="1" applyBorder="1" applyAlignment="1">
      <alignment vertical="center" shrinkToFit="1"/>
    </xf>
    <xf numFmtId="176" fontId="23" fillId="11" borderId="78" xfId="0" applyNumberFormat="1" applyFont="1" applyFill="1" applyBorder="1" applyAlignment="1">
      <alignment horizontal="right" vertical="center" wrapText="1" shrinkToFit="1"/>
    </xf>
    <xf numFmtId="176" fontId="23" fillId="11" borderId="76" xfId="0" applyNumberFormat="1" applyFont="1" applyFill="1" applyBorder="1" applyAlignment="1">
      <alignment horizontal="right" vertical="center" wrapText="1" shrinkToFi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/>
    </xf>
    <xf numFmtId="0" fontId="0" fillId="0" borderId="76" xfId="0" applyFill="1" applyBorder="1" applyAlignment="1">
      <alignment vertical="center"/>
    </xf>
    <xf numFmtId="176" fontId="23" fillId="0" borderId="11" xfId="0" applyNumberFormat="1" applyFont="1" applyFill="1" applyBorder="1" applyAlignment="1">
      <alignment horizontal="right" vertical="center" shrinkToFit="1"/>
    </xf>
    <xf numFmtId="176" fontId="23" fillId="0" borderId="76" xfId="0" applyNumberFormat="1" applyFont="1" applyFill="1" applyBorder="1" applyAlignment="1">
      <alignment horizontal="right" vertical="center" shrinkToFit="1"/>
    </xf>
    <xf numFmtId="176" fontId="24" fillId="0" borderId="11" xfId="0" applyNumberFormat="1" applyFont="1" applyFill="1" applyBorder="1" applyAlignment="1">
      <alignment horizontal="right" vertical="center" shrinkToFit="1"/>
    </xf>
    <xf numFmtId="176" fontId="24" fillId="0" borderId="17" xfId="0" applyNumberFormat="1" applyFont="1" applyFill="1" applyBorder="1" applyAlignment="1">
      <alignment horizontal="right" vertical="center" shrinkToFit="1"/>
    </xf>
    <xf numFmtId="176" fontId="24" fillId="0" borderId="78" xfId="0" applyNumberFormat="1" applyFont="1" applyFill="1" applyBorder="1" applyAlignment="1">
      <alignment horizontal="right" vertical="center" shrinkToFit="1"/>
    </xf>
    <xf numFmtId="176" fontId="25" fillId="9" borderId="78" xfId="0" applyNumberFormat="1" applyFont="1" applyFill="1" applyBorder="1" applyAlignment="1">
      <alignment horizontal="right" vertical="center" shrinkToFit="1"/>
    </xf>
    <xf numFmtId="176" fontId="25" fillId="9" borderId="76" xfId="0" applyNumberFormat="1" applyFont="1" applyFill="1" applyBorder="1" applyAlignment="1">
      <alignment horizontal="right" vertical="center" shrinkToFit="1"/>
    </xf>
    <xf numFmtId="176" fontId="25" fillId="0" borderId="11" xfId="0" applyNumberFormat="1" applyFont="1" applyFill="1" applyBorder="1" applyAlignment="1">
      <alignment horizontal="right" vertical="center" shrinkToFit="1"/>
    </xf>
    <xf numFmtId="176" fontId="25" fillId="0" borderId="17" xfId="0" applyNumberFormat="1" applyFont="1" applyFill="1" applyBorder="1" applyAlignment="1">
      <alignment horizontal="right" vertical="center" shrinkToFit="1"/>
    </xf>
    <xf numFmtId="176" fontId="26" fillId="9" borderId="78" xfId="0" applyNumberFormat="1" applyFont="1" applyFill="1" applyBorder="1" applyAlignment="1">
      <alignment horizontal="right" vertical="center" shrinkToFit="1"/>
    </xf>
    <xf numFmtId="176" fontId="26" fillId="9" borderId="76" xfId="0" applyNumberFormat="1" applyFont="1" applyFill="1" applyBorder="1" applyAlignment="1">
      <alignment horizontal="right" vertical="center" shrinkToFit="1"/>
    </xf>
    <xf numFmtId="0" fontId="7" fillId="0" borderId="18" xfId="0" applyFont="1" applyFill="1" applyBorder="1" applyAlignment="1">
      <alignment vertical="center" wrapText="1"/>
    </xf>
    <xf numFmtId="176" fontId="9" fillId="0" borderId="84" xfId="0" applyNumberFormat="1" applyFont="1" applyFill="1" applyBorder="1" applyAlignment="1">
      <alignment horizontal="center" vertical="center" shrinkToFit="1"/>
    </xf>
    <xf numFmtId="176" fontId="9" fillId="0" borderId="86" xfId="0" applyNumberFormat="1" applyFont="1" applyFill="1" applyBorder="1" applyAlignment="1">
      <alignment horizontal="center" vertical="center" shrinkToFit="1"/>
    </xf>
    <xf numFmtId="176" fontId="7" fillId="0" borderId="84" xfId="0" applyNumberFormat="1" applyFont="1" applyFill="1" applyBorder="1" applyAlignment="1">
      <alignment horizontal="center" vertical="center" shrinkToFit="1"/>
    </xf>
    <xf numFmtId="176" fontId="7" fillId="0" borderId="138" xfId="0" applyNumberFormat="1" applyFont="1" applyFill="1" applyBorder="1" applyAlignment="1">
      <alignment horizontal="center" vertical="center" shrinkToFit="1"/>
    </xf>
    <xf numFmtId="176" fontId="7" fillId="0" borderId="88" xfId="0" applyNumberFormat="1" applyFont="1" applyFill="1" applyBorder="1" applyAlignment="1">
      <alignment horizontal="center" vertical="center" shrinkToFit="1"/>
    </xf>
    <xf numFmtId="176" fontId="7" fillId="0" borderId="86" xfId="0" applyNumberFormat="1" applyFont="1" applyFill="1" applyBorder="1" applyAlignment="1">
      <alignment horizontal="center" vertical="center" shrinkToFit="1"/>
    </xf>
    <xf numFmtId="176" fontId="9" fillId="0" borderId="84" xfId="0" applyNumberFormat="1" applyFont="1" applyFill="1" applyBorder="1" applyAlignment="1">
      <alignment vertical="center" shrinkToFit="1"/>
    </xf>
    <xf numFmtId="176" fontId="9" fillId="0" borderId="138" xfId="0" applyNumberFormat="1" applyFont="1" applyFill="1" applyBorder="1" applyAlignment="1">
      <alignment vertical="center" shrinkToFit="1"/>
    </xf>
    <xf numFmtId="176" fontId="24" fillId="0" borderId="76" xfId="0" applyNumberFormat="1" applyFont="1" applyFill="1" applyBorder="1" applyAlignment="1">
      <alignment horizontal="right" vertical="center" shrinkToFit="1"/>
    </xf>
    <xf numFmtId="176" fontId="25" fillId="0" borderId="78" xfId="0" applyNumberFormat="1" applyFont="1" applyFill="1" applyBorder="1" applyAlignment="1">
      <alignment horizontal="right" vertical="center" shrinkToFit="1"/>
    </xf>
    <xf numFmtId="176" fontId="25" fillId="9" borderId="134" xfId="0" applyNumberFormat="1" applyFont="1" applyFill="1" applyBorder="1" applyAlignment="1">
      <alignment horizontal="right" vertical="center" shrinkToFit="1"/>
    </xf>
    <xf numFmtId="176" fontId="25" fillId="0" borderId="80" xfId="0" applyNumberFormat="1" applyFont="1" applyFill="1" applyBorder="1" applyAlignment="1">
      <alignment horizontal="right" vertical="center" shrinkToFit="1"/>
    </xf>
    <xf numFmtId="176" fontId="36" fillId="10" borderId="96" xfId="0" applyNumberFormat="1" applyFont="1" applyFill="1" applyBorder="1" applyAlignment="1">
      <alignment vertical="center" shrinkToFit="1"/>
    </xf>
    <xf numFmtId="176" fontId="36" fillId="10" borderId="95" xfId="0" applyNumberFormat="1" applyFont="1" applyFill="1" applyBorder="1" applyAlignment="1">
      <alignment vertical="center" shrinkToFit="1"/>
    </xf>
    <xf numFmtId="176" fontId="36" fillId="10" borderId="97" xfId="0" applyNumberFormat="1" applyFont="1" applyFill="1" applyBorder="1" applyAlignment="1">
      <alignment vertical="center" shrinkToFit="1"/>
    </xf>
    <xf numFmtId="176" fontId="36" fillId="10" borderId="98" xfId="0" applyNumberFormat="1" applyFont="1" applyFill="1" applyBorder="1" applyAlignment="1">
      <alignment vertical="center" shrinkToFit="1"/>
    </xf>
    <xf numFmtId="176" fontId="36" fillId="10" borderId="135" xfId="0" applyNumberFormat="1" applyFont="1" applyFill="1" applyBorder="1" applyAlignment="1">
      <alignment vertical="center" shrinkToFit="1"/>
    </xf>
    <xf numFmtId="176" fontId="9" fillId="9" borderId="88" xfId="0" applyNumberFormat="1" applyFont="1" applyFill="1" applyBorder="1" applyAlignment="1">
      <alignment vertical="center" shrinkToFit="1"/>
    </xf>
    <xf numFmtId="176" fontId="9" fillId="9" borderId="86" xfId="0" applyNumberFormat="1" applyFont="1" applyFill="1" applyBorder="1" applyAlignment="1">
      <alignment vertical="center" shrinkToFit="1"/>
    </xf>
    <xf numFmtId="176" fontId="7" fillId="0" borderId="18" xfId="0" applyNumberFormat="1" applyFont="1" applyFill="1" applyBorder="1" applyAlignment="1">
      <alignment horizontal="left" vertical="center" wrapText="1" shrinkToFit="1"/>
    </xf>
    <xf numFmtId="0" fontId="0" fillId="0" borderId="19" xfId="0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0" fillId="0" borderId="15" xfId="0" applyFill="1" applyBorder="1" applyAlignment="1">
      <alignment vertical="center" shrinkToFit="1"/>
    </xf>
    <xf numFmtId="0" fontId="0" fillId="0" borderId="27" xfId="0" applyFill="1" applyBorder="1" applyAlignment="1">
      <alignment vertical="center" shrinkToFit="1"/>
    </xf>
    <xf numFmtId="176" fontId="34" fillId="10" borderId="90" xfId="0" applyNumberFormat="1" applyFont="1" applyFill="1" applyBorder="1" applyAlignment="1">
      <alignment horizontal="left" vertical="center" wrapText="1" shrinkToFit="1"/>
    </xf>
    <xf numFmtId="0" fontId="34" fillId="10" borderId="92" xfId="0" applyFont="1" applyFill="1" applyBorder="1" applyAlignment="1">
      <alignment vertical="center" shrinkToFit="1"/>
    </xf>
    <xf numFmtId="176" fontId="34" fillId="10" borderId="93" xfId="0" applyNumberFormat="1" applyFont="1" applyFill="1" applyBorder="1" applyAlignment="1">
      <alignment horizontal="center" vertical="center" shrinkToFit="1"/>
    </xf>
    <xf numFmtId="176" fontId="34" fillId="10" borderId="92" xfId="0" applyNumberFormat="1" applyFont="1" applyFill="1" applyBorder="1" applyAlignment="1">
      <alignment horizontal="center" vertical="center" shrinkToFit="1"/>
    </xf>
    <xf numFmtId="176" fontId="34" fillId="10" borderId="135" xfId="0" applyNumberFormat="1" applyFont="1" applyFill="1" applyBorder="1" applyAlignment="1">
      <alignment horizontal="center" vertical="center" shrinkToFit="1"/>
    </xf>
    <xf numFmtId="176" fontId="34" fillId="10" borderId="95" xfId="0" applyNumberFormat="1" applyFont="1" applyFill="1" applyBorder="1" applyAlignment="1">
      <alignment horizontal="center" vertical="center" shrinkToFit="1"/>
    </xf>
    <xf numFmtId="176" fontId="36" fillId="10" borderId="94" xfId="0" applyNumberFormat="1" applyFont="1" applyFill="1" applyBorder="1" applyAlignment="1">
      <alignment vertical="center" shrinkToFit="1"/>
    </xf>
    <xf numFmtId="176" fontId="9" fillId="0" borderId="88" xfId="0" applyNumberFormat="1" applyFont="1" applyFill="1" applyBorder="1" applyAlignment="1">
      <alignment vertical="center" shrinkToFit="1"/>
    </xf>
    <xf numFmtId="176" fontId="9" fillId="9" borderId="146" xfId="0" applyNumberFormat="1" applyFont="1" applyFill="1" applyBorder="1" applyAlignment="1">
      <alignment vertical="center" shrinkToFit="1"/>
    </xf>
    <xf numFmtId="176" fontId="9" fillId="0" borderId="145" xfId="0" applyNumberFormat="1" applyFont="1" applyFill="1" applyBorder="1" applyAlignment="1">
      <alignment vertical="center" shrinkToFit="1"/>
    </xf>
    <xf numFmtId="176" fontId="24" fillId="0" borderId="147" xfId="0" applyNumberFormat="1" applyFont="1" applyFill="1" applyBorder="1" applyAlignment="1">
      <alignment vertical="center" shrinkToFit="1"/>
    </xf>
    <xf numFmtId="176" fontId="24" fillId="0" borderId="141" xfId="0" applyNumberFormat="1" applyFont="1" applyFill="1" applyBorder="1" applyAlignment="1">
      <alignment vertical="center" shrinkToFit="1"/>
    </xf>
    <xf numFmtId="176" fontId="23" fillId="9" borderId="139" xfId="0" applyNumberFormat="1" applyFont="1" applyFill="1" applyBorder="1" applyAlignment="1">
      <alignment horizontal="right" vertical="center" wrapText="1" shrinkToFit="1"/>
    </xf>
    <xf numFmtId="176" fontId="23" fillId="9" borderId="140" xfId="0" applyNumberFormat="1" applyFont="1" applyFill="1" applyBorder="1" applyAlignment="1">
      <alignment horizontal="right" vertical="center" wrapText="1" shrinkToFit="1"/>
    </xf>
    <xf numFmtId="176" fontId="24" fillId="0" borderId="84" xfId="0" applyNumberFormat="1" applyFont="1" applyFill="1" applyBorder="1" applyAlignment="1">
      <alignment horizontal="right" vertical="center" shrinkToFit="1"/>
    </xf>
    <xf numFmtId="176" fontId="24" fillId="0" borderId="138" xfId="0" applyNumberFormat="1" applyFont="1" applyFill="1" applyBorder="1" applyAlignment="1">
      <alignment horizontal="right" vertical="center" shrinkToFit="1"/>
    </xf>
    <xf numFmtId="176" fontId="24" fillId="0" borderId="144" xfId="0" applyNumberFormat="1" applyFont="1" applyFill="1" applyBorder="1" applyAlignment="1">
      <alignment vertical="center" shrinkToFit="1"/>
    </xf>
    <xf numFmtId="0" fontId="0" fillId="0" borderId="22" xfId="0" applyFill="1" applyBorder="1" applyAlignment="1">
      <alignment vertical="center" wrapText="1"/>
    </xf>
    <xf numFmtId="0" fontId="0" fillId="0" borderId="30" xfId="0" applyFill="1" applyBorder="1" applyAlignment="1">
      <alignment vertical="center"/>
    </xf>
    <xf numFmtId="176" fontId="7" fillId="0" borderId="144" xfId="0" applyNumberFormat="1" applyFont="1" applyFill="1" applyBorder="1" applyAlignment="1">
      <alignment horizontal="center" vertical="center" shrinkToFit="1"/>
    </xf>
    <xf numFmtId="176" fontId="7" fillId="0" borderId="141" xfId="0" applyNumberFormat="1" applyFont="1" applyFill="1" applyBorder="1" applyAlignment="1">
      <alignment horizontal="center" vertical="center" shrinkToFit="1"/>
    </xf>
    <xf numFmtId="176" fontId="7" fillId="0" borderId="139" xfId="0" applyNumberFormat="1" applyFont="1" applyFill="1" applyBorder="1" applyAlignment="1">
      <alignment horizontal="center" vertical="center" shrinkToFit="1"/>
    </xf>
    <xf numFmtId="176" fontId="7" fillId="0" borderId="140" xfId="0" applyNumberFormat="1" applyFont="1" applyFill="1" applyBorder="1" applyAlignment="1">
      <alignment horizontal="center" vertical="center" shrinkToFit="1"/>
    </xf>
    <xf numFmtId="176" fontId="24" fillId="0" borderId="139" xfId="0" applyNumberFormat="1" applyFont="1" applyFill="1" applyBorder="1" applyAlignment="1">
      <alignment vertical="center" shrinkToFit="1"/>
    </xf>
    <xf numFmtId="176" fontId="24" fillId="9" borderId="139" xfId="0" applyNumberFormat="1" applyFont="1" applyFill="1" applyBorder="1" applyAlignment="1">
      <alignment vertical="center" shrinkToFit="1"/>
    </xf>
    <xf numFmtId="176" fontId="24" fillId="9" borderId="147" xfId="0" applyNumberFormat="1" applyFont="1" applyFill="1" applyBorder="1" applyAlignment="1">
      <alignment vertical="center" shrinkToFit="1"/>
    </xf>
    <xf numFmtId="176" fontId="24" fillId="0" borderId="142" xfId="0" applyNumberFormat="1" applyFont="1" applyFill="1" applyBorder="1" applyAlignment="1">
      <alignment vertical="center" shrinkToFit="1"/>
    </xf>
    <xf numFmtId="176" fontId="24" fillId="9" borderId="140" xfId="0" applyNumberFormat="1" applyFont="1" applyFill="1" applyBorder="1" applyAlignment="1">
      <alignment vertical="center" shrinkToFit="1"/>
    </xf>
    <xf numFmtId="176" fontId="7" fillId="0" borderId="14" xfId="0" applyNumberFormat="1" applyFont="1" applyFill="1" applyBorder="1" applyAlignment="1">
      <alignment horizontal="left" vertical="center" wrapText="1" shrinkToFit="1"/>
    </xf>
    <xf numFmtId="176" fontId="23" fillId="0" borderId="144" xfId="0" applyNumberFormat="1" applyFont="1" applyFill="1" applyBorder="1" applyAlignment="1">
      <alignment horizontal="center" vertical="center" shrinkToFit="1"/>
    </xf>
    <xf numFmtId="176" fontId="23" fillId="0" borderId="140" xfId="0" applyNumberFormat="1" applyFont="1" applyFill="1" applyBorder="1" applyAlignment="1">
      <alignment horizontal="center" vertical="center" shrinkToFit="1"/>
    </xf>
    <xf numFmtId="176" fontId="23" fillId="9" borderId="87" xfId="0" applyNumberFormat="1" applyFont="1" applyFill="1" applyBorder="1" applyAlignment="1">
      <alignment horizontal="right" vertical="center" shrinkToFit="1"/>
    </xf>
    <xf numFmtId="176" fontId="23" fillId="9" borderId="86" xfId="0" applyNumberFormat="1" applyFont="1" applyFill="1" applyBorder="1" applyAlignment="1">
      <alignment horizontal="right" vertical="center" shrinkToFit="1"/>
    </xf>
    <xf numFmtId="0" fontId="34" fillId="10" borderId="90" xfId="0" applyFont="1" applyFill="1" applyBorder="1" applyAlignment="1">
      <alignment vertical="center" wrapText="1"/>
    </xf>
    <xf numFmtId="0" fontId="34" fillId="10" borderId="92" xfId="0" applyFont="1" applyFill="1" applyBorder="1" applyAlignment="1">
      <alignment vertical="center"/>
    </xf>
    <xf numFmtId="176" fontId="24" fillId="0" borderId="88" xfId="0" applyNumberFormat="1" applyFont="1" applyFill="1" applyBorder="1" applyAlignment="1">
      <alignment horizontal="right" vertical="center" shrinkToFit="1"/>
    </xf>
    <xf numFmtId="176" fontId="24" fillId="9" borderId="88" xfId="0" applyNumberFormat="1" applyFont="1" applyFill="1" applyBorder="1" applyAlignment="1">
      <alignment horizontal="right" vertical="center" shrinkToFit="1"/>
    </xf>
    <xf numFmtId="176" fontId="24" fillId="9" borderId="85" xfId="0" applyNumberFormat="1" applyFont="1" applyFill="1" applyBorder="1" applyAlignment="1">
      <alignment horizontal="right" vertical="center" shrinkToFit="1"/>
    </xf>
    <xf numFmtId="176" fontId="24" fillId="0" borderId="145" xfId="0" applyNumberFormat="1" applyFont="1" applyFill="1" applyBorder="1" applyAlignment="1">
      <alignment horizontal="right" vertical="center" shrinkToFit="1"/>
    </xf>
    <xf numFmtId="176" fontId="24" fillId="9" borderId="86" xfId="0" applyNumberFormat="1" applyFont="1" applyFill="1" applyBorder="1" applyAlignment="1">
      <alignment horizontal="right" vertical="center" shrinkToFit="1"/>
    </xf>
    <xf numFmtId="176" fontId="24" fillId="0" borderId="85" xfId="0" applyNumberFormat="1" applyFont="1" applyFill="1" applyBorder="1" applyAlignment="1">
      <alignment horizontal="right" vertical="center" wrapText="1" shrinkToFit="1"/>
    </xf>
    <xf numFmtId="0" fontId="0" fillId="0" borderId="20" xfId="0" applyFill="1" applyBorder="1" applyAlignment="1">
      <alignment vertical="center"/>
    </xf>
    <xf numFmtId="176" fontId="23" fillId="0" borderId="84" xfId="0" applyNumberFormat="1" applyFont="1" applyFill="1" applyBorder="1" applyAlignment="1">
      <alignment horizontal="right" vertical="center" shrinkToFit="1"/>
    </xf>
    <xf numFmtId="176" fontId="23" fillId="0" borderId="86" xfId="0" applyNumberFormat="1" applyFont="1" applyFill="1" applyBorder="1" applyAlignment="1">
      <alignment horizontal="right" vertical="center" shrinkToFit="1"/>
    </xf>
    <xf numFmtId="176" fontId="7" fillId="9" borderId="88" xfId="0" applyNumberFormat="1" applyFont="1" applyFill="1" applyBorder="1" applyAlignment="1">
      <alignment vertical="center" shrinkToFit="1"/>
    </xf>
    <xf numFmtId="176" fontId="7" fillId="9" borderId="146" xfId="0" applyNumberFormat="1" applyFont="1" applyFill="1" applyBorder="1" applyAlignment="1">
      <alignment vertical="center" shrinkToFit="1"/>
    </xf>
    <xf numFmtId="176" fontId="7" fillId="0" borderId="145" xfId="0" applyNumberFormat="1" applyFont="1" applyFill="1" applyBorder="1" applyAlignment="1">
      <alignment vertical="center" shrinkToFit="1"/>
    </xf>
    <xf numFmtId="176" fontId="7" fillId="0" borderId="138" xfId="0" applyNumberFormat="1" applyFont="1" applyFill="1" applyBorder="1" applyAlignment="1">
      <alignment vertical="center" shrinkToFit="1"/>
    </xf>
    <xf numFmtId="176" fontId="7" fillId="0" borderId="88" xfId="0" applyNumberFormat="1" applyFont="1" applyFill="1" applyBorder="1" applyAlignment="1">
      <alignment vertical="center" shrinkToFit="1"/>
    </xf>
    <xf numFmtId="176" fontId="7" fillId="9" borderId="86" xfId="0" applyNumberFormat="1" applyFont="1" applyFill="1" applyBorder="1" applyAlignment="1">
      <alignment vertical="center" shrinkToFit="1"/>
    </xf>
    <xf numFmtId="176" fontId="7" fillId="0" borderId="84" xfId="0" applyNumberFormat="1" applyFont="1" applyFill="1" applyBorder="1" applyAlignment="1">
      <alignment vertical="center" shrinkToFit="1"/>
    </xf>
    <xf numFmtId="176" fontId="24" fillId="0" borderId="144" xfId="0" applyNumberFormat="1" applyFont="1" applyFill="1" applyBorder="1" applyAlignment="1">
      <alignment horizontal="right" vertical="center" shrinkToFit="1"/>
    </xf>
    <xf numFmtId="176" fontId="24" fillId="0" borderId="141" xfId="0" applyNumberFormat="1" applyFont="1" applyFill="1" applyBorder="1" applyAlignment="1">
      <alignment horizontal="right" vertical="center" shrinkToFit="1"/>
    </xf>
    <xf numFmtId="176" fontId="23" fillId="9" borderId="139" xfId="0" applyNumberFormat="1" applyFont="1" applyFill="1" applyBorder="1" applyAlignment="1">
      <alignment horizontal="right" vertical="center" shrinkToFit="1"/>
    </xf>
    <xf numFmtId="176" fontId="23" fillId="9" borderId="140" xfId="0" applyNumberFormat="1" applyFont="1" applyFill="1" applyBorder="1" applyAlignment="1">
      <alignment horizontal="right" vertical="center" shrinkToFit="1"/>
    </xf>
    <xf numFmtId="176" fontId="7" fillId="0" borderId="84" xfId="0" applyNumberFormat="1" applyFont="1" applyFill="1" applyBorder="1" applyAlignment="1">
      <alignment horizontal="left" vertical="center" wrapText="1" shrinkToFit="1"/>
    </xf>
    <xf numFmtId="0" fontId="0" fillId="0" borderId="85" xfId="0" applyFill="1" applyBorder="1" applyAlignment="1">
      <alignment vertical="center"/>
    </xf>
    <xf numFmtId="0" fontId="0" fillId="0" borderId="86" xfId="0" applyFill="1" applyBorder="1" applyAlignment="1">
      <alignment vertical="center"/>
    </xf>
    <xf numFmtId="176" fontId="23" fillId="0" borderId="84" xfId="0" quotePrefix="1" applyNumberFormat="1" applyFont="1" applyFill="1" applyBorder="1" applyAlignment="1">
      <alignment horizontal="center" vertical="center" shrinkToFit="1"/>
    </xf>
    <xf numFmtId="176" fontId="23" fillId="0" borderId="86" xfId="0" quotePrefix="1" applyNumberFormat="1" applyFont="1" applyFill="1" applyBorder="1" applyAlignment="1">
      <alignment horizontal="center" vertical="center" shrinkToFit="1"/>
    </xf>
    <xf numFmtId="176" fontId="23" fillId="0" borderId="138" xfId="0" quotePrefix="1" applyNumberFormat="1" applyFont="1" applyFill="1" applyBorder="1" applyAlignment="1">
      <alignment horizontal="center" vertical="center" shrinkToFit="1"/>
    </xf>
    <xf numFmtId="176" fontId="23" fillId="0" borderId="88" xfId="0" quotePrefix="1" applyNumberFormat="1" applyFont="1" applyFill="1" applyBorder="1" applyAlignment="1">
      <alignment horizontal="center" vertical="center" shrinkToFit="1"/>
    </xf>
    <xf numFmtId="176" fontId="24" fillId="0" borderId="139" xfId="0" applyNumberFormat="1" applyFont="1" applyFill="1" applyBorder="1" applyAlignment="1">
      <alignment horizontal="right" vertical="center" shrinkToFit="1"/>
    </xf>
    <xf numFmtId="176" fontId="24" fillId="9" borderId="139" xfId="0" applyNumberFormat="1" applyFont="1" applyFill="1" applyBorder="1" applyAlignment="1">
      <alignment horizontal="right" vertical="center" shrinkToFit="1"/>
    </xf>
    <xf numFmtId="176" fontId="24" fillId="9" borderId="143" xfId="0" applyNumberFormat="1" applyFont="1" applyFill="1" applyBorder="1" applyAlignment="1">
      <alignment horizontal="right" vertical="center" shrinkToFit="1"/>
    </xf>
    <xf numFmtId="176" fontId="24" fillId="0" borderId="142" xfId="0" applyNumberFormat="1" applyFont="1" applyFill="1" applyBorder="1" applyAlignment="1">
      <alignment horizontal="right" vertical="center" shrinkToFit="1"/>
    </xf>
    <xf numFmtId="176" fontId="24" fillId="9" borderId="140" xfId="0" applyNumberFormat="1" applyFont="1" applyFill="1" applyBorder="1" applyAlignment="1">
      <alignment horizontal="right" vertical="center" shrinkToFit="1"/>
    </xf>
    <xf numFmtId="0" fontId="0" fillId="0" borderId="19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76" fontId="23" fillId="0" borderId="93" xfId="0" applyNumberFormat="1" applyFont="1" applyFill="1" applyBorder="1" applyAlignment="1">
      <alignment vertical="center" shrinkToFit="1"/>
    </xf>
    <xf numFmtId="176" fontId="23" fillId="0" borderId="135" xfId="0" applyNumberFormat="1" applyFont="1" applyFill="1" applyBorder="1" applyAlignment="1">
      <alignment vertical="center" shrinkToFit="1"/>
    </xf>
    <xf numFmtId="176" fontId="23" fillId="0" borderId="95" xfId="0" applyNumberFormat="1" applyFont="1" applyFill="1" applyBorder="1" applyAlignment="1">
      <alignment vertical="center" shrinkToFit="1"/>
    </xf>
    <xf numFmtId="176" fontId="23" fillId="0" borderId="92" xfId="0" applyNumberFormat="1" applyFont="1" applyFill="1" applyBorder="1" applyAlignment="1">
      <alignment vertical="center" shrinkToFit="1"/>
    </xf>
    <xf numFmtId="176" fontId="7" fillId="0" borderId="15" xfId="0" applyNumberFormat="1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76" fontId="11" fillId="0" borderId="78" xfId="0" applyNumberFormat="1" applyFont="1" applyBorder="1" applyAlignment="1">
      <alignment horizontal="center" vertical="top" shrinkToFit="1"/>
    </xf>
    <xf numFmtId="176" fontId="11" fillId="7" borderId="16" xfId="0" applyNumberFormat="1" applyFont="1" applyFill="1" applyBorder="1" applyAlignment="1">
      <alignment horizontal="center" vertical="top" wrapText="1" shrinkToFit="1"/>
    </xf>
    <xf numFmtId="176" fontId="11" fillId="7" borderId="16" xfId="0" applyNumberFormat="1" applyFont="1" applyFill="1" applyBorder="1" applyAlignment="1">
      <alignment horizontal="center" vertical="top" shrinkToFit="1"/>
    </xf>
    <xf numFmtId="176" fontId="11" fillId="7" borderId="17" xfId="0" applyNumberFormat="1" applyFont="1" applyFill="1" applyBorder="1" applyAlignment="1">
      <alignment horizontal="center" vertical="top" wrapText="1" shrinkToFit="1"/>
    </xf>
    <xf numFmtId="176" fontId="11" fillId="7" borderId="78" xfId="0" applyNumberFormat="1" applyFont="1" applyFill="1" applyBorder="1" applyAlignment="1">
      <alignment horizontal="center" vertical="top" shrinkToFit="1"/>
    </xf>
    <xf numFmtId="176" fontId="11" fillId="4" borderId="77" xfId="0" applyNumberFormat="1" applyFont="1" applyFill="1" applyBorder="1" applyAlignment="1">
      <alignment horizontal="center" vertical="top" wrapText="1" shrinkToFit="1"/>
    </xf>
    <xf numFmtId="176" fontId="11" fillId="4" borderId="16" xfId="0" applyNumberFormat="1" applyFont="1" applyFill="1" applyBorder="1" applyAlignment="1">
      <alignment horizontal="center" vertical="top" shrinkToFit="1"/>
    </xf>
    <xf numFmtId="176" fontId="23" fillId="0" borderId="137" xfId="0" applyNumberFormat="1" applyFont="1" applyFill="1" applyBorder="1" applyAlignment="1">
      <alignment vertical="center" shrinkToFit="1"/>
    </xf>
    <xf numFmtId="176" fontId="23" fillId="0" borderId="136" xfId="0" applyNumberFormat="1" applyFont="1" applyFill="1" applyBorder="1" applyAlignment="1">
      <alignment vertical="center" shrinkToFit="1"/>
    </xf>
    <xf numFmtId="176" fontId="9" fillId="0" borderId="90" xfId="0" applyNumberFormat="1" applyFont="1" applyFill="1" applyBorder="1" applyAlignment="1">
      <alignment horizontal="center" vertical="center" wrapText="1"/>
    </xf>
    <xf numFmtId="0" fontId="9" fillId="0" borderId="91" xfId="0" applyFont="1" applyFill="1" applyBorder="1" applyAlignment="1">
      <alignment vertical="center"/>
    </xf>
    <xf numFmtId="0" fontId="9" fillId="0" borderId="92" xfId="0" applyFont="1" applyFill="1" applyBorder="1" applyAlignment="1">
      <alignment vertical="center"/>
    </xf>
    <xf numFmtId="176" fontId="23" fillId="0" borderId="93" xfId="0" applyNumberFormat="1" applyFont="1" applyFill="1" applyBorder="1" applyAlignment="1">
      <alignment horizontal="center" vertical="center" shrinkToFit="1"/>
    </xf>
    <xf numFmtId="176" fontId="23" fillId="0" borderId="135" xfId="0" applyNumberFormat="1" applyFont="1" applyFill="1" applyBorder="1" applyAlignment="1">
      <alignment horizontal="center" vertical="center" shrinkToFit="1"/>
    </xf>
    <xf numFmtId="176" fontId="23" fillId="0" borderId="95" xfId="0" applyNumberFormat="1" applyFont="1" applyFill="1" applyBorder="1" applyAlignment="1">
      <alignment horizontal="center" vertical="center" shrinkToFit="1"/>
    </xf>
    <xf numFmtId="176" fontId="23" fillId="0" borderId="92" xfId="0" applyNumberFormat="1" applyFont="1" applyFill="1" applyBorder="1" applyAlignment="1">
      <alignment horizontal="center" vertical="center" shrinkToFit="1"/>
    </xf>
    <xf numFmtId="176" fontId="11" fillId="4" borderId="16" xfId="0" applyNumberFormat="1" applyFont="1" applyFill="1" applyBorder="1" applyAlignment="1">
      <alignment horizontal="center" vertical="top" wrapText="1" shrinkToFit="1"/>
    </xf>
    <xf numFmtId="176" fontId="11" fillId="4" borderId="78" xfId="0" applyNumberFormat="1" applyFont="1" applyFill="1" applyBorder="1" applyAlignment="1">
      <alignment horizontal="center" vertical="top" shrinkToFit="1"/>
    </xf>
    <xf numFmtId="176" fontId="7" fillId="0" borderId="22" xfId="0" applyNumberFormat="1" applyFont="1" applyFill="1" applyBorder="1" applyAlignment="1">
      <alignment vertical="center" wrapText="1" shrinkToFit="1"/>
    </xf>
    <xf numFmtId="176" fontId="7" fillId="0" borderId="15" xfId="0" applyNumberFormat="1" applyFont="1" applyFill="1" applyBorder="1" applyAlignment="1">
      <alignment vertical="center" shrinkToFit="1"/>
    </xf>
    <xf numFmtId="176" fontId="23" fillId="0" borderId="14" xfId="0" quotePrefix="1" applyNumberFormat="1" applyFont="1" applyFill="1" applyBorder="1" applyAlignment="1">
      <alignment horizontal="center" vertical="center" shrinkToFit="1"/>
    </xf>
    <xf numFmtId="176" fontId="23" fillId="0" borderId="27" xfId="0" applyNumberFormat="1" applyFont="1" applyFill="1" applyBorder="1" applyAlignment="1">
      <alignment horizontal="center" vertical="center" shrinkToFit="1"/>
    </xf>
    <xf numFmtId="176" fontId="23" fillId="6" borderId="14" xfId="0" quotePrefix="1" applyNumberFormat="1" applyFont="1" applyFill="1" applyBorder="1" applyAlignment="1">
      <alignment horizontal="center" vertical="center" shrinkToFit="1"/>
    </xf>
    <xf numFmtId="176" fontId="23" fillId="6" borderId="15" xfId="0" applyNumberFormat="1" applyFont="1" applyFill="1" applyBorder="1" applyAlignment="1">
      <alignment horizontal="center" vertical="center" shrinkToFit="1"/>
    </xf>
    <xf numFmtId="176" fontId="23" fillId="6" borderId="28" xfId="0" quotePrefix="1" applyNumberFormat="1" applyFont="1" applyFill="1" applyBorder="1" applyAlignment="1">
      <alignment horizontal="center" vertical="center" shrinkToFit="1"/>
    </xf>
    <xf numFmtId="176" fontId="23" fillId="6" borderId="28" xfId="0" applyNumberFormat="1" applyFont="1" applyFill="1" applyBorder="1" applyAlignment="1">
      <alignment horizontal="center" vertical="center" shrinkToFit="1"/>
    </xf>
    <xf numFmtId="176" fontId="23" fillId="6" borderId="15" xfId="0" quotePrefix="1" applyNumberFormat="1" applyFont="1" applyFill="1" applyBorder="1" applyAlignment="1">
      <alignment horizontal="center" vertical="center" shrinkToFit="1"/>
    </xf>
    <xf numFmtId="176" fontId="23" fillId="6" borderId="27" xfId="0" applyNumberFormat="1" applyFont="1" applyFill="1" applyBorder="1" applyAlignment="1">
      <alignment horizontal="center" vertical="center" shrinkToFit="1"/>
    </xf>
    <xf numFmtId="176" fontId="25" fillId="0" borderId="81" xfId="0" applyNumberFormat="1" applyFont="1" applyFill="1" applyBorder="1" applyAlignment="1">
      <alignment vertical="center" shrinkToFit="1"/>
    </xf>
    <xf numFmtId="176" fontId="25" fillId="0" borderId="24" xfId="0" applyNumberFormat="1" applyFont="1" applyFill="1" applyBorder="1" applyAlignment="1">
      <alignment vertical="center" shrinkToFit="1"/>
    </xf>
    <xf numFmtId="176" fontId="25" fillId="0" borderId="82" xfId="0" applyNumberFormat="1" applyFont="1" applyFill="1" applyBorder="1" applyAlignment="1">
      <alignment vertical="center" shrinkToFit="1"/>
    </xf>
    <xf numFmtId="176" fontId="25" fillId="0" borderId="25" xfId="0" applyNumberFormat="1" applyFont="1" applyFill="1" applyBorder="1" applyAlignment="1">
      <alignment vertical="center" shrinkToFit="1"/>
    </xf>
    <xf numFmtId="176" fontId="11" fillId="4" borderId="79" xfId="0" applyNumberFormat="1" applyFont="1" applyFill="1" applyBorder="1" applyAlignment="1">
      <alignment horizontal="center" vertical="top" shrinkToFit="1"/>
    </xf>
    <xf numFmtId="176" fontId="11" fillId="5" borderId="17" xfId="0" applyNumberFormat="1" applyFont="1" applyFill="1" applyBorder="1" applyAlignment="1">
      <alignment horizontal="center" vertical="top" wrapText="1" shrinkToFit="1"/>
    </xf>
    <xf numFmtId="176" fontId="11" fillId="5" borderId="16" xfId="0" applyNumberFormat="1" applyFont="1" applyFill="1" applyBorder="1" applyAlignment="1">
      <alignment horizontal="center" vertical="top" shrinkToFit="1"/>
    </xf>
    <xf numFmtId="176" fontId="11" fillId="5" borderId="16" xfId="0" applyNumberFormat="1" applyFont="1" applyFill="1" applyBorder="1" applyAlignment="1">
      <alignment horizontal="center" vertical="top" wrapText="1" shrinkToFit="1"/>
    </xf>
    <xf numFmtId="176" fontId="11" fillId="5" borderId="78" xfId="0" applyNumberFormat="1" applyFont="1" applyFill="1" applyBorder="1" applyAlignment="1">
      <alignment horizontal="center" vertical="top" shrinkToFit="1"/>
    </xf>
    <xf numFmtId="176" fontId="11" fillId="0" borderId="16" xfId="0" applyNumberFormat="1" applyFont="1" applyBorder="1" applyAlignment="1">
      <alignment horizontal="center" vertical="top" wrapText="1" shrinkToFit="1"/>
    </xf>
    <xf numFmtId="176" fontId="11" fillId="0" borderId="23" xfId="0" applyNumberFormat="1" applyFont="1" applyBorder="1" applyAlignment="1">
      <alignment horizontal="center" vertical="top" shrinkToFit="1"/>
    </xf>
    <xf numFmtId="176" fontId="25" fillId="0" borderId="99" xfId="0" applyNumberFormat="1" applyFont="1" applyFill="1" applyBorder="1" applyAlignment="1">
      <alignment vertical="center" shrinkToFit="1"/>
    </xf>
    <xf numFmtId="176" fontId="25" fillId="0" borderId="100" xfId="0" applyNumberFormat="1" applyFont="1" applyFill="1" applyBorder="1" applyAlignment="1">
      <alignment vertical="center" shrinkToFit="1"/>
    </xf>
    <xf numFmtId="176" fontId="25" fillId="0" borderId="11" xfId="3" applyNumberFormat="1" applyFont="1" applyFill="1" applyBorder="1" applyAlignment="1">
      <alignment vertical="center" shrinkToFit="1"/>
    </xf>
    <xf numFmtId="176" fontId="25" fillId="0" borderId="76" xfId="0" applyNumberFormat="1" applyFont="1" applyFill="1" applyBorder="1" applyAlignment="1">
      <alignment vertical="center" shrinkToFit="1"/>
    </xf>
    <xf numFmtId="176" fontId="1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176" fontId="7" fillId="0" borderId="25" xfId="0" applyNumberFormat="1" applyFont="1" applyFill="1" applyBorder="1" applyAlignment="1">
      <alignment vertical="center" shrinkToFit="1"/>
    </xf>
    <xf numFmtId="176" fontId="7" fillId="0" borderId="100" xfId="0" applyNumberFormat="1" applyFont="1" applyFill="1" applyBorder="1" applyAlignment="1">
      <alignment vertical="center" shrinkToFit="1"/>
    </xf>
    <xf numFmtId="176" fontId="23" fillId="0" borderId="18" xfId="0" applyNumberFormat="1" applyFont="1" applyFill="1" applyBorder="1" applyAlignment="1">
      <alignment horizontal="right" vertical="center" wrapText="1" shrinkToFit="1"/>
    </xf>
    <xf numFmtId="176" fontId="23" fillId="0" borderId="20" xfId="0" applyNumberFormat="1" applyFont="1" applyFill="1" applyBorder="1" applyAlignment="1">
      <alignment horizontal="right" vertical="center" shrinkToFit="1"/>
    </xf>
    <xf numFmtId="176" fontId="7" fillId="0" borderId="35" xfId="0" applyNumberFormat="1" applyFont="1" applyFill="1" applyBorder="1" applyAlignment="1">
      <alignment vertical="center" shrinkToFit="1"/>
    </xf>
    <xf numFmtId="176" fontId="7" fillId="0" borderId="36" xfId="0" applyNumberFormat="1" applyFont="1" applyFill="1" applyBorder="1" applyAlignment="1">
      <alignment vertical="center" shrinkToFit="1"/>
    </xf>
    <xf numFmtId="176" fontId="23" fillId="0" borderId="101" xfId="0" applyNumberFormat="1" applyFont="1" applyFill="1" applyBorder="1" applyAlignment="1">
      <alignment horizontal="right" vertical="center" wrapText="1" shrinkToFit="1"/>
    </xf>
    <xf numFmtId="176" fontId="23" fillId="0" borderId="103" xfId="0" applyNumberFormat="1" applyFont="1" applyFill="1" applyBorder="1" applyAlignment="1">
      <alignment horizontal="right" vertical="center" shrinkToFit="1"/>
    </xf>
    <xf numFmtId="176" fontId="7" fillId="0" borderId="81" xfId="0" applyNumberFormat="1" applyFont="1" applyFill="1" applyBorder="1" applyAlignment="1">
      <alignment vertical="center" shrinkToFit="1"/>
    </xf>
    <xf numFmtId="176" fontId="7" fillId="0" borderId="24" xfId="0" applyNumberFormat="1" applyFont="1" applyFill="1" applyBorder="1" applyAlignment="1">
      <alignment vertical="center" shrinkToFit="1"/>
    </xf>
    <xf numFmtId="176" fontId="7" fillId="0" borderId="82" xfId="0" applyNumberFormat="1" applyFont="1" applyFill="1" applyBorder="1" applyAlignment="1">
      <alignment vertical="center" shrinkToFit="1"/>
    </xf>
    <xf numFmtId="176" fontId="7" fillId="0" borderId="99" xfId="0" applyNumberFormat="1" applyFont="1" applyFill="1" applyBorder="1" applyAlignment="1">
      <alignment vertical="center" shrinkToFit="1"/>
    </xf>
    <xf numFmtId="176" fontId="7" fillId="0" borderId="105" xfId="0" applyNumberFormat="1" applyFont="1" applyFill="1" applyBorder="1" applyAlignment="1">
      <alignment vertical="center" shrinkToFit="1"/>
    </xf>
    <xf numFmtId="176" fontId="7" fillId="0" borderId="104" xfId="0" applyNumberFormat="1" applyFont="1" applyFill="1" applyBorder="1" applyAlignment="1">
      <alignment vertical="center" shrinkToFit="1"/>
    </xf>
    <xf numFmtId="176" fontId="7" fillId="0" borderId="33" xfId="0" applyNumberFormat="1" applyFont="1" applyFill="1" applyBorder="1" applyAlignment="1">
      <alignment vertical="center" shrinkToFit="1"/>
    </xf>
    <xf numFmtId="176" fontId="7" fillId="0" borderId="34" xfId="0" applyNumberFormat="1" applyFont="1" applyFill="1" applyBorder="1" applyAlignment="1">
      <alignment vertical="center" shrinkToFit="1"/>
    </xf>
    <xf numFmtId="176" fontId="7" fillId="0" borderId="19" xfId="0" applyNumberFormat="1" applyFont="1" applyFill="1" applyBorder="1" applyAlignment="1">
      <alignment horizontal="left" vertical="center" shrinkToFit="1"/>
    </xf>
    <xf numFmtId="176" fontId="7" fillId="0" borderId="20" xfId="0" applyNumberFormat="1" applyFont="1" applyFill="1" applyBorder="1" applyAlignment="1">
      <alignment horizontal="left" vertical="center" shrinkToFit="1"/>
    </xf>
    <xf numFmtId="176" fontId="23" fillId="0" borderId="22" xfId="0" quotePrefix="1" applyNumberFormat="1" applyFont="1" applyFill="1" applyBorder="1" applyAlignment="1">
      <alignment horizontal="center" vertical="center" shrinkToFit="1"/>
    </xf>
    <xf numFmtId="176" fontId="23" fillId="0" borderId="30" xfId="0" applyNumberFormat="1" applyFont="1" applyFill="1" applyBorder="1" applyAlignment="1">
      <alignment horizontal="center" vertical="center" shrinkToFit="1"/>
    </xf>
    <xf numFmtId="176" fontId="23" fillId="6" borderId="22" xfId="0" quotePrefix="1" applyNumberFormat="1" applyFont="1" applyFill="1" applyBorder="1" applyAlignment="1">
      <alignment horizontal="center" vertical="center" shrinkToFit="1"/>
    </xf>
    <xf numFmtId="176" fontId="23" fillId="6" borderId="0" xfId="0" applyNumberFormat="1" applyFont="1" applyFill="1" applyBorder="1" applyAlignment="1">
      <alignment horizontal="center" vertical="center" shrinkToFit="1"/>
    </xf>
    <xf numFmtId="176" fontId="23" fillId="6" borderId="32" xfId="0" quotePrefix="1" applyNumberFormat="1" applyFont="1" applyFill="1" applyBorder="1" applyAlignment="1">
      <alignment horizontal="center" vertical="center" shrinkToFit="1"/>
    </xf>
    <xf numFmtId="176" fontId="23" fillId="6" borderId="32" xfId="0" applyNumberFormat="1" applyFont="1" applyFill="1" applyBorder="1" applyAlignment="1">
      <alignment horizontal="center" vertical="center" shrinkToFit="1"/>
    </xf>
    <xf numFmtId="176" fontId="23" fillId="6" borderId="0" xfId="0" quotePrefix="1" applyNumberFormat="1" applyFont="1" applyFill="1" applyBorder="1" applyAlignment="1">
      <alignment horizontal="center" vertical="center" shrinkToFit="1"/>
    </xf>
    <xf numFmtId="176" fontId="23" fillId="6" borderId="30" xfId="0" applyNumberFormat="1" applyFont="1" applyFill="1" applyBorder="1" applyAlignment="1">
      <alignment horizontal="center" vertical="center" shrinkToFit="1"/>
    </xf>
    <xf numFmtId="176" fontId="7" fillId="0" borderId="17" xfId="0" applyNumberFormat="1" applyFont="1" applyFill="1" applyBorder="1" applyAlignment="1">
      <alignment vertical="center" shrinkToFit="1"/>
    </xf>
    <xf numFmtId="176" fontId="7" fillId="0" borderId="23" xfId="0" applyNumberFormat="1" applyFont="1" applyFill="1" applyBorder="1" applyAlignment="1">
      <alignment vertical="center" shrinkToFit="1"/>
    </xf>
    <xf numFmtId="176" fontId="7" fillId="0" borderId="77" xfId="0" applyNumberFormat="1" applyFont="1" applyFill="1" applyBorder="1" applyAlignment="1">
      <alignment vertical="center" shrinkToFit="1"/>
    </xf>
    <xf numFmtId="176" fontId="7" fillId="0" borderId="78" xfId="0" applyNumberFormat="1" applyFont="1" applyFill="1" applyBorder="1" applyAlignment="1">
      <alignment vertical="center" shrinkToFit="1"/>
    </xf>
    <xf numFmtId="176" fontId="7" fillId="0" borderId="16" xfId="0" applyNumberFormat="1" applyFont="1" applyFill="1" applyBorder="1" applyAlignment="1">
      <alignment vertical="center" shrinkToFit="1"/>
    </xf>
    <xf numFmtId="176" fontId="7" fillId="0" borderId="83" xfId="0" applyNumberFormat="1" applyFont="1" applyFill="1" applyBorder="1" applyAlignment="1">
      <alignment vertical="center" shrinkToFit="1"/>
    </xf>
    <xf numFmtId="176" fontId="7" fillId="0" borderId="101" xfId="0" applyNumberFormat="1" applyFont="1" applyFill="1" applyBorder="1" applyAlignment="1">
      <alignment horizontal="left" vertical="center" wrapText="1" shrinkToFit="1"/>
    </xf>
    <xf numFmtId="176" fontId="7" fillId="0" borderId="102" xfId="0" applyNumberFormat="1" applyFont="1" applyFill="1" applyBorder="1" applyAlignment="1">
      <alignment horizontal="left" vertical="center" shrinkToFit="1"/>
    </xf>
    <xf numFmtId="176" fontId="7" fillId="0" borderId="103" xfId="0" applyNumberFormat="1" applyFont="1" applyFill="1" applyBorder="1" applyAlignment="1">
      <alignment horizontal="left" vertical="center" shrinkToFit="1"/>
    </xf>
    <xf numFmtId="176" fontId="23" fillId="0" borderId="101" xfId="0" quotePrefix="1" applyNumberFormat="1" applyFont="1" applyFill="1" applyBorder="1" applyAlignment="1">
      <alignment horizontal="center" vertical="center" shrinkToFit="1"/>
    </xf>
    <xf numFmtId="176" fontId="23" fillId="0" borderId="103" xfId="0" applyNumberFormat="1" applyFont="1" applyFill="1" applyBorder="1" applyAlignment="1">
      <alignment horizontal="center" vertical="center" shrinkToFit="1"/>
    </xf>
    <xf numFmtId="176" fontId="23" fillId="6" borderId="101" xfId="0" quotePrefix="1" applyNumberFormat="1" applyFont="1" applyFill="1" applyBorder="1" applyAlignment="1">
      <alignment horizontal="center" vertical="center" shrinkToFit="1"/>
    </xf>
    <xf numFmtId="176" fontId="23" fillId="6" borderId="102" xfId="0" applyNumberFormat="1" applyFont="1" applyFill="1" applyBorder="1" applyAlignment="1">
      <alignment horizontal="center" vertical="center" shrinkToFit="1"/>
    </xf>
    <xf numFmtId="176" fontId="23" fillId="6" borderId="33" xfId="0" quotePrefix="1" applyNumberFormat="1" applyFont="1" applyFill="1" applyBorder="1" applyAlignment="1">
      <alignment horizontal="center" vertical="center" shrinkToFit="1"/>
    </xf>
    <xf numFmtId="176" fontId="23" fillId="6" borderId="33" xfId="0" applyNumberFormat="1" applyFont="1" applyFill="1" applyBorder="1" applyAlignment="1">
      <alignment horizontal="center" vertical="center" shrinkToFit="1"/>
    </xf>
    <xf numFmtId="176" fontId="23" fillId="6" borderId="102" xfId="0" quotePrefix="1" applyNumberFormat="1" applyFont="1" applyFill="1" applyBorder="1" applyAlignment="1">
      <alignment horizontal="center" vertical="center" shrinkToFit="1"/>
    </xf>
    <xf numFmtId="176" fontId="23" fillId="6" borderId="103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vertical="center" wrapText="1" shrinkToFit="1"/>
    </xf>
    <xf numFmtId="0" fontId="7" fillId="0" borderId="12" xfId="0" applyFont="1" applyBorder="1" applyAlignment="1">
      <alignment vertical="center" shrinkToFit="1"/>
    </xf>
    <xf numFmtId="0" fontId="7" fillId="0" borderId="76" xfId="0" applyFont="1" applyBorder="1" applyAlignment="1">
      <alignment vertical="center" shrinkToFit="1"/>
    </xf>
    <xf numFmtId="0" fontId="42" fillId="0" borderId="0" xfId="1" applyFont="1" applyAlignment="1">
      <alignment horizontal="left" vertical="center"/>
    </xf>
    <xf numFmtId="0" fontId="7" fillId="0" borderId="11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13" fillId="0" borderId="11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7" fillId="0" borderId="22" xfId="1" applyFont="1" applyBorder="1" applyAlignment="1">
      <alignment horizontal="left" vertical="center"/>
    </xf>
    <xf numFmtId="0" fontId="7" fillId="0" borderId="38" xfId="1" applyFont="1" applyBorder="1" applyAlignment="1">
      <alignment horizontal="left" vertical="center"/>
    </xf>
    <xf numFmtId="0" fontId="7" fillId="0" borderId="46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49" xfId="1" applyFont="1" applyBorder="1" applyAlignment="1">
      <alignment horizontal="left" vertical="center" wrapText="1"/>
    </xf>
    <xf numFmtId="0" fontId="8" fillId="0" borderId="21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2" xfId="1" applyFont="1" applyBorder="1" applyAlignment="1">
      <alignment horizontal="left" vertical="center" wrapText="1"/>
    </xf>
    <xf numFmtId="0" fontId="7" fillId="0" borderId="38" xfId="1" applyFont="1" applyBorder="1" applyAlignment="1">
      <alignment horizontal="left" vertical="center" wrapText="1"/>
    </xf>
    <xf numFmtId="0" fontId="17" fillId="0" borderId="0" xfId="2" applyFont="1" applyAlignment="1">
      <alignment horizontal="left" vertical="center"/>
    </xf>
    <xf numFmtId="0" fontId="37" fillId="0" borderId="18" xfId="2" applyFont="1" applyBorder="1" applyAlignment="1">
      <alignment horizontal="center" vertical="top" textRotation="255" wrapText="1"/>
    </xf>
    <xf numFmtId="0" fontId="37" fillId="0" borderId="20" xfId="2" applyFont="1" applyBorder="1" applyAlignment="1">
      <alignment horizontal="center" vertical="top" textRotation="255" wrapText="1"/>
    </xf>
    <xf numFmtId="0" fontId="37" fillId="0" borderId="22" xfId="2" applyFont="1" applyBorder="1" applyAlignment="1">
      <alignment horizontal="center" vertical="top" textRotation="255" wrapText="1"/>
    </xf>
    <xf numFmtId="0" fontId="37" fillId="0" borderId="30" xfId="2" applyFont="1" applyBorder="1" applyAlignment="1">
      <alignment horizontal="center" vertical="top" textRotation="255" wrapText="1"/>
    </xf>
    <xf numFmtId="0" fontId="37" fillId="0" borderId="14" xfId="2" applyFont="1" applyBorder="1" applyAlignment="1">
      <alignment horizontal="center" vertical="top" textRotation="255" wrapText="1"/>
    </xf>
    <xf numFmtId="0" fontId="37" fillId="0" borderId="27" xfId="2" applyFont="1" applyBorder="1" applyAlignment="1">
      <alignment horizontal="center" vertical="top" textRotation="255" wrapText="1"/>
    </xf>
    <xf numFmtId="0" fontId="39" fillId="0" borderId="18" xfId="2" applyFont="1" applyBorder="1" applyAlignment="1">
      <alignment horizontal="center" vertical="top" textRotation="255" wrapText="1"/>
    </xf>
    <xf numFmtId="0" fontId="39" fillId="0" borderId="25" xfId="2" applyFont="1" applyBorder="1" applyAlignment="1">
      <alignment horizontal="center" vertical="top" textRotation="255"/>
    </xf>
    <xf numFmtId="0" fontId="39" fillId="0" borderId="22" xfId="2" applyFont="1" applyBorder="1" applyAlignment="1">
      <alignment horizontal="center" vertical="top" textRotation="255" wrapText="1"/>
    </xf>
    <xf numFmtId="0" fontId="39" fillId="0" borderId="38" xfId="2" applyFont="1" applyBorder="1" applyAlignment="1">
      <alignment horizontal="center" vertical="top" textRotation="255"/>
    </xf>
    <xf numFmtId="0" fontId="39" fillId="0" borderId="22" xfId="2" applyFont="1" applyBorder="1" applyAlignment="1">
      <alignment horizontal="center" vertical="top" textRotation="255"/>
    </xf>
    <xf numFmtId="0" fontId="39" fillId="0" borderId="0" xfId="2" applyFont="1" applyBorder="1" applyAlignment="1">
      <alignment horizontal="center" vertical="top" textRotation="255"/>
    </xf>
    <xf numFmtId="0" fontId="39" fillId="0" borderId="14" xfId="2" applyFont="1" applyBorder="1" applyAlignment="1">
      <alignment horizontal="center" vertical="top" textRotation="255"/>
    </xf>
    <xf numFmtId="0" fontId="39" fillId="0" borderId="15" xfId="2" applyFont="1" applyBorder="1" applyAlignment="1">
      <alignment horizontal="center" vertical="top" textRotation="255"/>
    </xf>
    <xf numFmtId="0" fontId="38" fillId="0" borderId="24" xfId="2" applyFont="1" applyFill="1" applyBorder="1" applyAlignment="1">
      <alignment horizontal="center" vertical="center"/>
    </xf>
    <xf numFmtId="0" fontId="39" fillId="0" borderId="19" xfId="2" applyFont="1" applyFill="1" applyBorder="1" applyAlignment="1">
      <alignment horizontal="center" vertical="center"/>
    </xf>
    <xf numFmtId="0" fontId="39" fillId="0" borderId="25" xfId="2" applyFont="1" applyFill="1" applyBorder="1" applyAlignment="1">
      <alignment horizontal="center" vertical="center"/>
    </xf>
    <xf numFmtId="0" fontId="39" fillId="0" borderId="52" xfId="2" applyFont="1" applyFill="1" applyBorder="1" applyAlignment="1">
      <alignment horizontal="center" vertical="center"/>
    </xf>
    <xf numFmtId="0" fontId="39" fillId="0" borderId="53" xfId="2" applyFont="1" applyFill="1" applyBorder="1" applyAlignment="1">
      <alignment horizontal="center" vertical="center"/>
    </xf>
    <xf numFmtId="0" fontId="39" fillId="0" borderId="54" xfId="2" applyFont="1" applyFill="1" applyBorder="1" applyAlignment="1">
      <alignment horizontal="center" vertical="center"/>
    </xf>
    <xf numFmtId="0" fontId="39" fillId="0" borderId="20" xfId="2" applyFont="1" applyFill="1" applyBorder="1" applyAlignment="1">
      <alignment horizontal="center" vertical="center"/>
    </xf>
    <xf numFmtId="0" fontId="39" fillId="0" borderId="55" xfId="2" applyFont="1" applyFill="1" applyBorder="1" applyAlignment="1">
      <alignment horizontal="center" vertical="center"/>
    </xf>
    <xf numFmtId="0" fontId="38" fillId="0" borderId="56" xfId="2" applyFont="1" applyFill="1" applyBorder="1" applyAlignment="1">
      <alignment horizontal="left" vertical="center" wrapText="1"/>
    </xf>
    <xf numFmtId="0" fontId="39" fillId="0" borderId="57" xfId="2" applyFont="1" applyFill="1" applyBorder="1" applyAlignment="1">
      <alignment horizontal="left" vertical="center"/>
    </xf>
    <xf numFmtId="0" fontId="39" fillId="0" borderId="58" xfId="2" applyFont="1" applyFill="1" applyBorder="1" applyAlignment="1">
      <alignment horizontal="left" vertical="center"/>
    </xf>
    <xf numFmtId="0" fontId="39" fillId="0" borderId="60" xfId="2" applyFont="1" applyFill="1" applyBorder="1" applyAlignment="1">
      <alignment horizontal="left" vertical="center"/>
    </xf>
    <xf numFmtId="0" fontId="39" fillId="0" borderId="0" xfId="2" applyFont="1" applyFill="1" applyBorder="1" applyAlignment="1">
      <alignment horizontal="left" vertical="center"/>
    </xf>
    <xf numFmtId="0" fontId="39" fillId="0" borderId="38" xfId="2" applyFont="1" applyFill="1" applyBorder="1" applyAlignment="1">
      <alignment horizontal="left" vertical="center"/>
    </xf>
    <xf numFmtId="0" fontId="39" fillId="0" borderId="9" xfId="2" applyFont="1" applyFill="1" applyBorder="1" applyAlignment="1">
      <alignment horizontal="left" vertical="center"/>
    </xf>
    <xf numFmtId="0" fontId="39" fillId="0" borderId="10" xfId="2" applyFont="1" applyFill="1" applyBorder="1" applyAlignment="1">
      <alignment horizontal="left" vertical="center"/>
    </xf>
    <xf numFmtId="0" fontId="39" fillId="0" borderId="56" xfId="2" applyFont="1" applyFill="1" applyBorder="1" applyAlignment="1">
      <alignment horizontal="center" vertical="center"/>
    </xf>
    <xf numFmtId="0" fontId="39" fillId="0" borderId="57" xfId="2" applyFont="1" applyFill="1" applyBorder="1" applyAlignment="1">
      <alignment horizontal="center" vertical="center"/>
    </xf>
    <xf numFmtId="0" fontId="39" fillId="0" borderId="58" xfId="2" applyFont="1" applyFill="1" applyBorder="1" applyAlignment="1">
      <alignment horizontal="center" vertical="center"/>
    </xf>
    <xf numFmtId="0" fontId="39" fillId="0" borderId="60" xfId="2" applyFont="1" applyFill="1" applyBorder="1" applyAlignment="1">
      <alignment horizontal="center" vertical="center"/>
    </xf>
    <xf numFmtId="0" fontId="39" fillId="0" borderId="0" xfId="2" applyFont="1" applyFill="1" applyBorder="1" applyAlignment="1">
      <alignment horizontal="center" vertical="center"/>
    </xf>
    <xf numFmtId="0" fontId="39" fillId="0" borderId="38" xfId="2" applyFont="1" applyFill="1" applyBorder="1" applyAlignment="1">
      <alignment horizontal="center" vertical="center"/>
    </xf>
    <xf numFmtId="0" fontId="39" fillId="0" borderId="8" xfId="2" applyFont="1" applyFill="1" applyBorder="1" applyAlignment="1">
      <alignment horizontal="center" vertical="center"/>
    </xf>
    <xf numFmtId="0" fontId="39" fillId="0" borderId="9" xfId="2" applyFont="1" applyFill="1" applyBorder="1" applyAlignment="1">
      <alignment horizontal="center" vertical="center"/>
    </xf>
    <xf numFmtId="0" fontId="39" fillId="0" borderId="10" xfId="2" applyFont="1" applyFill="1" applyBorder="1" applyAlignment="1">
      <alignment horizontal="center" vertical="center"/>
    </xf>
    <xf numFmtId="0" fontId="39" fillId="0" borderId="59" xfId="2" applyFont="1" applyFill="1" applyBorder="1" applyAlignment="1">
      <alignment horizontal="center" vertical="center"/>
    </xf>
    <xf numFmtId="0" fontId="39" fillId="0" borderId="30" xfId="2" applyFont="1" applyFill="1" applyBorder="1" applyAlignment="1">
      <alignment horizontal="center" vertical="center"/>
    </xf>
    <xf numFmtId="0" fontId="39" fillId="0" borderId="61" xfId="2" applyFont="1" applyFill="1" applyBorder="1" applyAlignment="1">
      <alignment horizontal="center" vertical="center"/>
    </xf>
    <xf numFmtId="0" fontId="39" fillId="0" borderId="25" xfId="2" applyFont="1" applyBorder="1" applyAlignment="1">
      <alignment horizontal="center" vertical="top" textRotation="255" wrapText="1"/>
    </xf>
    <xf numFmtId="0" fontId="39" fillId="0" borderId="38" xfId="2" applyFont="1" applyBorder="1" applyAlignment="1">
      <alignment horizontal="center" vertical="top" textRotation="255" wrapText="1"/>
    </xf>
    <xf numFmtId="0" fontId="39" fillId="0" borderId="0" xfId="2" applyFont="1" applyBorder="1" applyAlignment="1">
      <alignment horizontal="center" vertical="top" textRotation="255" wrapText="1"/>
    </xf>
    <xf numFmtId="0" fontId="39" fillId="0" borderId="14" xfId="2" applyFont="1" applyBorder="1" applyAlignment="1">
      <alignment horizontal="center" vertical="top" textRotation="255" wrapText="1"/>
    </xf>
    <xf numFmtId="0" fontId="39" fillId="0" borderId="15" xfId="2" applyFont="1" applyBorder="1" applyAlignment="1">
      <alignment horizontal="center" vertical="top" textRotation="255" wrapText="1"/>
    </xf>
    <xf numFmtId="0" fontId="39" fillId="0" borderId="56" xfId="2" applyFont="1" applyFill="1" applyBorder="1" applyAlignment="1">
      <alignment horizontal="center" vertical="center" wrapText="1"/>
    </xf>
    <xf numFmtId="0" fontId="38" fillId="0" borderId="56" xfId="2" applyFont="1" applyFill="1" applyBorder="1" applyAlignment="1">
      <alignment horizontal="center" vertical="center" wrapText="1"/>
    </xf>
    <xf numFmtId="177" fontId="31" fillId="8" borderId="5" xfId="2" applyNumberFormat="1" applyFont="1" applyFill="1" applyBorder="1" applyAlignment="1">
      <alignment horizontal="center" vertical="center"/>
    </xf>
    <xf numFmtId="177" fontId="31" fillId="8" borderId="6" xfId="2" applyNumberFormat="1" applyFont="1" applyFill="1" applyBorder="1" applyAlignment="1">
      <alignment horizontal="center" vertical="center"/>
    </xf>
    <xf numFmtId="177" fontId="31" fillId="8" borderId="65" xfId="2" applyNumberFormat="1" applyFont="1" applyFill="1" applyBorder="1" applyAlignment="1">
      <alignment horizontal="center" vertical="center"/>
    </xf>
    <xf numFmtId="177" fontId="31" fillId="8" borderId="15" xfId="2" applyNumberFormat="1" applyFont="1" applyFill="1" applyBorder="1" applyAlignment="1">
      <alignment horizontal="center" vertical="center"/>
    </xf>
    <xf numFmtId="0" fontId="40" fillId="0" borderId="64" xfId="2" applyFont="1" applyBorder="1" applyAlignment="1">
      <alignment horizontal="center" vertical="center"/>
    </xf>
    <xf numFmtId="0" fontId="40" fillId="0" borderId="57" xfId="2" applyFont="1" applyBorder="1" applyAlignment="1">
      <alignment horizontal="center" vertical="center"/>
    </xf>
    <xf numFmtId="0" fontId="40" fillId="0" borderId="58" xfId="2" applyFont="1" applyBorder="1" applyAlignment="1">
      <alignment horizontal="center" vertical="center"/>
    </xf>
    <xf numFmtId="0" fontId="40" fillId="0" borderId="22" xfId="2" applyFont="1" applyBorder="1" applyAlignment="1">
      <alignment horizontal="center" vertical="center"/>
    </xf>
    <xf numFmtId="0" fontId="40" fillId="0" borderId="0" xfId="2" applyFont="1" applyBorder="1" applyAlignment="1">
      <alignment horizontal="center" vertical="center"/>
    </xf>
    <xf numFmtId="0" fontId="40" fillId="0" borderId="38" xfId="2" applyFont="1" applyBorder="1" applyAlignment="1">
      <alignment horizontal="center" vertical="center"/>
    </xf>
    <xf numFmtId="0" fontId="40" fillId="0" borderId="46" xfId="2" applyFont="1" applyBorder="1" applyAlignment="1">
      <alignment horizontal="center" vertical="center"/>
    </xf>
    <xf numFmtId="0" fontId="40" fillId="0" borderId="9" xfId="2" applyFont="1" applyBorder="1" applyAlignment="1">
      <alignment horizontal="center" vertical="center"/>
    </xf>
    <xf numFmtId="0" fontId="40" fillId="0" borderId="10" xfId="2" applyFont="1" applyBorder="1" applyAlignment="1">
      <alignment horizontal="center" vertical="center"/>
    </xf>
    <xf numFmtId="0" fontId="40" fillId="0" borderId="56" xfId="2" applyFont="1" applyBorder="1" applyAlignment="1">
      <alignment horizontal="center" vertical="center" wrapText="1"/>
    </xf>
    <xf numFmtId="0" fontId="40" fillId="0" borderId="57" xfId="2" applyFont="1" applyBorder="1" applyAlignment="1">
      <alignment horizontal="center" vertical="center" wrapText="1"/>
    </xf>
    <xf numFmtId="0" fontId="40" fillId="0" borderId="59" xfId="2" applyFont="1" applyBorder="1" applyAlignment="1">
      <alignment horizontal="center" vertical="center" wrapText="1"/>
    </xf>
    <xf numFmtId="0" fontId="40" fillId="0" borderId="60" xfId="2" applyFont="1" applyBorder="1" applyAlignment="1">
      <alignment horizontal="center" vertical="center" wrapText="1"/>
    </xf>
    <xf numFmtId="0" fontId="40" fillId="0" borderId="0" xfId="2" applyFont="1" applyBorder="1" applyAlignment="1">
      <alignment horizontal="center" vertical="center" wrapText="1"/>
    </xf>
    <xf numFmtId="0" fontId="40" fillId="0" borderId="30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 wrapText="1"/>
    </xf>
    <xf numFmtId="0" fontId="40" fillId="0" borderId="61" xfId="2" applyFont="1" applyBorder="1" applyAlignment="1">
      <alignment horizontal="center" vertical="center" wrapText="1"/>
    </xf>
    <xf numFmtId="0" fontId="38" fillId="0" borderId="60" xfId="2" applyFont="1" applyFill="1" applyBorder="1" applyAlignment="1">
      <alignment horizontal="center" vertical="center"/>
    </xf>
    <xf numFmtId="0" fontId="39" fillId="0" borderId="24" xfId="2" applyFont="1" applyFill="1" applyBorder="1" applyAlignment="1">
      <alignment horizontal="center" vertical="center" wrapText="1"/>
    </xf>
    <xf numFmtId="0" fontId="39" fillId="0" borderId="24" xfId="2" applyFont="1" applyFill="1" applyBorder="1" applyAlignment="1">
      <alignment horizontal="center" vertical="center"/>
    </xf>
    <xf numFmtId="178" fontId="38" fillId="0" borderId="5" xfId="2" applyNumberFormat="1" applyFont="1" applyFill="1" applyBorder="1" applyAlignment="1">
      <alignment horizontal="center" vertical="center"/>
    </xf>
    <xf numFmtId="178" fontId="38" fillId="0" borderId="6" xfId="2" applyNumberFormat="1" applyFont="1" applyFill="1" applyBorder="1" applyAlignment="1">
      <alignment horizontal="center" vertical="center"/>
    </xf>
    <xf numFmtId="178" fontId="38" fillId="0" borderId="65" xfId="2" applyNumberFormat="1" applyFont="1" applyFill="1" applyBorder="1" applyAlignment="1">
      <alignment horizontal="center" vertical="center"/>
    </xf>
    <xf numFmtId="178" fontId="38" fillId="0" borderId="15" xfId="2" applyNumberFormat="1" applyFont="1" applyFill="1" applyBorder="1" applyAlignment="1">
      <alignment horizontal="center" vertical="center"/>
    </xf>
    <xf numFmtId="0" fontId="39" fillId="0" borderId="49" xfId="2" applyFont="1" applyBorder="1" applyAlignment="1">
      <alignment horizontal="center" vertical="top" textRotation="255"/>
    </xf>
    <xf numFmtId="177" fontId="38" fillId="0" borderId="118" xfId="2" applyNumberFormat="1" applyFont="1" applyFill="1" applyBorder="1" applyAlignment="1">
      <alignment horizontal="center" vertical="center"/>
    </xf>
    <xf numFmtId="177" fontId="38" fillId="0" borderId="119" xfId="2" applyNumberFormat="1" applyFont="1" applyFill="1" applyBorder="1" applyAlignment="1">
      <alignment horizontal="center" vertical="center"/>
    </xf>
    <xf numFmtId="177" fontId="38" fillId="0" borderId="120" xfId="2" applyNumberFormat="1" applyFont="1" applyFill="1" applyBorder="1" applyAlignment="1">
      <alignment horizontal="center" vertical="center"/>
    </xf>
    <xf numFmtId="177" fontId="38" fillId="0" borderId="121" xfId="2" applyNumberFormat="1" applyFont="1" applyFill="1" applyBorder="1" applyAlignment="1">
      <alignment horizontal="center" vertical="center"/>
    </xf>
    <xf numFmtId="177" fontId="38" fillId="0" borderId="122" xfId="2" applyNumberFormat="1" applyFont="1" applyFill="1" applyBorder="1" applyAlignment="1">
      <alignment horizontal="center" vertical="center"/>
    </xf>
    <xf numFmtId="177" fontId="38" fillId="0" borderId="123" xfId="2" applyNumberFormat="1" applyFont="1" applyFill="1" applyBorder="1" applyAlignment="1">
      <alignment horizontal="center" vertical="center"/>
    </xf>
    <xf numFmtId="0" fontId="38" fillId="0" borderId="19" xfId="2" applyFont="1" applyFill="1" applyBorder="1" applyAlignment="1">
      <alignment horizontal="center" vertical="center" wrapText="1"/>
    </xf>
    <xf numFmtId="0" fontId="32" fillId="0" borderId="2" xfId="2" applyFont="1" applyFill="1" applyBorder="1" applyAlignment="1">
      <alignment horizontal="center" vertical="center"/>
    </xf>
    <xf numFmtId="0" fontId="40" fillId="0" borderId="70" xfId="2" applyFont="1" applyFill="1" applyBorder="1" applyAlignment="1">
      <alignment horizontal="center" vertical="center"/>
    </xf>
    <xf numFmtId="177" fontId="4" fillId="0" borderId="60" xfId="2" applyNumberFormat="1" applyFill="1" applyBorder="1" applyAlignment="1">
      <alignment horizontal="center" vertical="center"/>
    </xf>
    <xf numFmtId="177" fontId="4" fillId="0" borderId="0" xfId="2" applyNumberFormat="1" applyFill="1" applyBorder="1" applyAlignment="1">
      <alignment horizontal="center" vertical="center"/>
    </xf>
    <xf numFmtId="177" fontId="4" fillId="0" borderId="65" xfId="2" applyNumberFormat="1" applyFill="1" applyBorder="1" applyAlignment="1">
      <alignment horizontal="center" vertical="center"/>
    </xf>
    <xf numFmtId="177" fontId="4" fillId="0" borderId="15" xfId="2" applyNumberFormat="1" applyFill="1" applyBorder="1" applyAlignment="1">
      <alignment horizontal="center" vertical="center"/>
    </xf>
    <xf numFmtId="177" fontId="38" fillId="0" borderId="0" xfId="2" applyNumberFormat="1" applyFont="1" applyFill="1" applyBorder="1" applyAlignment="1">
      <alignment horizontal="center" vertical="center"/>
    </xf>
    <xf numFmtId="177" fontId="38" fillId="0" borderId="6" xfId="2" applyNumberFormat="1" applyFont="1" applyFill="1" applyBorder="1" applyAlignment="1">
      <alignment horizontal="center" vertical="center"/>
    </xf>
    <xf numFmtId="177" fontId="38" fillId="0" borderId="15" xfId="2" applyNumberFormat="1" applyFont="1" applyFill="1" applyBorder="1" applyAlignment="1">
      <alignment horizontal="center" vertical="center"/>
    </xf>
    <xf numFmtId="177" fontId="4" fillId="0" borderId="15" xfId="2" applyNumberFormat="1" applyFill="1" applyBorder="1" applyAlignment="1">
      <alignment horizontal="center" vertical="center" shrinkToFit="1"/>
    </xf>
    <xf numFmtId="177" fontId="4" fillId="0" borderId="49" xfId="2" applyNumberFormat="1" applyFill="1" applyBorder="1" applyAlignment="1">
      <alignment horizontal="center" vertical="center" shrinkToFit="1"/>
    </xf>
    <xf numFmtId="0" fontId="32" fillId="0" borderId="18" xfId="2" applyFont="1" applyBorder="1" applyAlignment="1">
      <alignment horizontal="center" vertical="center"/>
    </xf>
    <xf numFmtId="0" fontId="40" fillId="0" borderId="19" xfId="2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62" xfId="2" applyFont="1" applyBorder="1" applyAlignment="1">
      <alignment horizontal="center" vertical="center"/>
    </xf>
    <xf numFmtId="0" fontId="40" fillId="0" borderId="53" xfId="2" applyFont="1" applyBorder="1" applyAlignment="1">
      <alignment horizontal="center" vertical="center"/>
    </xf>
    <xf numFmtId="0" fontId="40" fillId="0" borderId="54" xfId="2" applyFont="1" applyBorder="1" applyAlignment="1">
      <alignment horizontal="center" vertical="center"/>
    </xf>
    <xf numFmtId="0" fontId="40" fillId="0" borderId="24" xfId="2" applyFont="1" applyBorder="1" applyAlignment="1">
      <alignment horizontal="center" vertical="center"/>
    </xf>
    <xf numFmtId="0" fontId="40" fillId="0" borderId="20" xfId="2" applyFont="1" applyBorder="1" applyAlignment="1">
      <alignment horizontal="center" vertical="center"/>
    </xf>
    <xf numFmtId="0" fontId="40" fillId="0" borderId="52" xfId="2" applyFont="1" applyBorder="1" applyAlignment="1">
      <alignment horizontal="center" vertical="center"/>
    </xf>
    <xf numFmtId="0" fontId="40" fillId="0" borderId="55" xfId="2" applyFont="1" applyBorder="1" applyAlignment="1">
      <alignment horizontal="center" vertical="center"/>
    </xf>
    <xf numFmtId="176" fontId="38" fillId="0" borderId="66" xfId="2" applyNumberFormat="1" applyFont="1" applyFill="1" applyBorder="1" applyAlignment="1">
      <alignment horizontal="center" vertical="center"/>
    </xf>
    <xf numFmtId="176" fontId="38" fillId="0" borderId="6" xfId="2" applyNumberFormat="1" applyFont="1" applyFill="1" applyBorder="1" applyAlignment="1">
      <alignment horizontal="center" vertical="center"/>
    </xf>
    <xf numFmtId="176" fontId="38" fillId="0" borderId="14" xfId="2" applyNumberFormat="1" applyFont="1" applyFill="1" applyBorder="1" applyAlignment="1">
      <alignment horizontal="center" vertical="center"/>
    </xf>
    <xf numFmtId="176" fontId="38" fillId="0" borderId="15" xfId="2" applyNumberFormat="1" applyFont="1" applyFill="1" applyBorder="1" applyAlignment="1">
      <alignment horizontal="center" vertical="center"/>
    </xf>
    <xf numFmtId="176" fontId="38" fillId="0" borderId="5" xfId="2" applyNumberFormat="1" applyFont="1" applyFill="1" applyBorder="1" applyAlignment="1">
      <alignment horizontal="center" vertical="center"/>
    </xf>
    <xf numFmtId="176" fontId="38" fillId="0" borderId="65" xfId="2" applyNumberFormat="1" applyFont="1" applyFill="1" applyBorder="1" applyAlignment="1">
      <alignment horizontal="center" vertical="center"/>
    </xf>
    <xf numFmtId="0" fontId="4" fillId="0" borderId="15" xfId="2" applyFill="1" applyBorder="1" applyAlignment="1">
      <alignment horizontal="center" vertical="center" shrinkToFit="1"/>
    </xf>
    <xf numFmtId="0" fontId="4" fillId="0" borderId="49" xfId="2" applyFill="1" applyBorder="1" applyAlignment="1">
      <alignment horizontal="center" vertical="center" shrinkToFit="1"/>
    </xf>
    <xf numFmtId="177" fontId="4" fillId="0" borderId="9" xfId="2" applyNumberFormat="1" applyFill="1" applyBorder="1" applyAlignment="1">
      <alignment horizontal="center" vertical="center" shrinkToFit="1"/>
    </xf>
    <xf numFmtId="177" fontId="4" fillId="0" borderId="10" xfId="2" applyNumberFormat="1" applyFill="1" applyBorder="1" applyAlignment="1">
      <alignment horizontal="center" vertical="center" shrinkToFit="1"/>
    </xf>
    <xf numFmtId="0" fontId="4" fillId="0" borderId="15" xfId="2" applyFill="1" applyBorder="1" applyAlignment="1">
      <alignment horizontal="center" vertical="center"/>
    </xf>
    <xf numFmtId="0" fontId="4" fillId="0" borderId="27" xfId="2" applyFill="1" applyBorder="1" applyAlignment="1">
      <alignment horizontal="center" vertical="center"/>
    </xf>
    <xf numFmtId="177" fontId="32" fillId="0" borderId="118" xfId="2" applyNumberFormat="1" applyFont="1" applyFill="1" applyBorder="1" applyAlignment="1">
      <alignment horizontal="center" vertical="center"/>
    </xf>
    <xf numFmtId="177" fontId="32" fillId="0" borderId="119" xfId="2" applyNumberFormat="1" applyFont="1" applyFill="1" applyBorder="1" applyAlignment="1">
      <alignment horizontal="center" vertical="center"/>
    </xf>
    <xf numFmtId="177" fontId="32" fillId="0" borderId="120" xfId="2" applyNumberFormat="1" applyFont="1" applyFill="1" applyBorder="1" applyAlignment="1">
      <alignment horizontal="center" vertical="center"/>
    </xf>
    <xf numFmtId="177" fontId="32" fillId="0" borderId="121" xfId="2" applyNumberFormat="1" applyFont="1" applyFill="1" applyBorder="1" applyAlignment="1">
      <alignment horizontal="center" vertical="center"/>
    </xf>
    <xf numFmtId="177" fontId="32" fillId="0" borderId="122" xfId="2" applyNumberFormat="1" applyFont="1" applyFill="1" applyBorder="1" applyAlignment="1">
      <alignment horizontal="center" vertical="center"/>
    </xf>
    <xf numFmtId="177" fontId="32" fillId="0" borderId="123" xfId="2" applyNumberFormat="1" applyFont="1" applyFill="1" applyBorder="1" applyAlignment="1">
      <alignment horizontal="center" vertical="center"/>
    </xf>
    <xf numFmtId="0" fontId="38" fillId="0" borderId="67" xfId="2" applyFont="1" applyFill="1" applyBorder="1" applyAlignment="1">
      <alignment horizontal="center" vertical="center"/>
    </xf>
    <xf numFmtId="0" fontId="39" fillId="0" borderId="68" xfId="2" applyFont="1" applyFill="1" applyBorder="1" applyAlignment="1">
      <alignment horizontal="center" vertical="center"/>
    </xf>
    <xf numFmtId="0" fontId="39" fillId="0" borderId="69" xfId="2" applyFont="1" applyFill="1" applyBorder="1" applyAlignment="1">
      <alignment horizontal="center" vertical="center"/>
    </xf>
    <xf numFmtId="0" fontId="4" fillId="0" borderId="15" xfId="2" applyBorder="1" applyAlignment="1">
      <alignment horizontal="center" vertical="center"/>
    </xf>
    <xf numFmtId="0" fontId="4" fillId="0" borderId="27" xfId="2" applyBorder="1" applyAlignment="1">
      <alignment horizontal="center" vertical="center"/>
    </xf>
    <xf numFmtId="0" fontId="20" fillId="0" borderId="70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/>
    </xf>
    <xf numFmtId="0" fontId="32" fillId="0" borderId="56" xfId="2" applyFont="1" applyFill="1" applyBorder="1" applyAlignment="1">
      <alignment horizontal="center" vertical="center" wrapText="1"/>
    </xf>
    <xf numFmtId="0" fontId="40" fillId="0" borderId="57" xfId="2" applyFont="1" applyFill="1" applyBorder="1" applyAlignment="1">
      <alignment horizontal="center" vertical="center" wrapText="1"/>
    </xf>
    <xf numFmtId="0" fontId="40" fillId="0" borderId="71" xfId="2" applyFont="1" applyFill="1" applyBorder="1" applyAlignment="1">
      <alignment horizontal="center" vertical="center" wrapText="1"/>
    </xf>
    <xf numFmtId="0" fontId="40" fillId="0" borderId="60" xfId="2" applyFont="1" applyFill="1" applyBorder="1" applyAlignment="1">
      <alignment horizontal="center" vertical="center" wrapText="1"/>
    </xf>
    <xf numFmtId="0" fontId="40" fillId="0" borderId="0" xfId="2" applyFont="1" applyFill="1" applyBorder="1" applyAlignment="1">
      <alignment horizontal="center" vertical="center" wrapText="1"/>
    </xf>
    <xf numFmtId="0" fontId="40" fillId="0" borderId="73" xfId="2" applyFont="1" applyFill="1" applyBorder="1" applyAlignment="1">
      <alignment horizontal="center" vertical="center" wrapText="1"/>
    </xf>
    <xf numFmtId="0" fontId="40" fillId="0" borderId="53" xfId="2" applyFont="1" applyFill="1" applyBorder="1" applyAlignment="1">
      <alignment horizontal="center" vertical="center" wrapText="1"/>
    </xf>
    <xf numFmtId="0" fontId="40" fillId="0" borderId="75" xfId="2" applyFont="1" applyFill="1" applyBorder="1" applyAlignment="1">
      <alignment horizontal="center" vertical="center" wrapText="1"/>
    </xf>
    <xf numFmtId="0" fontId="40" fillId="0" borderId="72" xfId="2" applyFont="1" applyFill="1" applyBorder="1" applyAlignment="1">
      <alignment horizontal="center" vertical="center" wrapText="1"/>
    </xf>
    <xf numFmtId="0" fontId="40" fillId="0" borderId="57" xfId="2" applyFont="1" applyFill="1" applyBorder="1" applyAlignment="1">
      <alignment horizontal="center" vertical="center"/>
    </xf>
    <xf numFmtId="0" fontId="40" fillId="0" borderId="58" xfId="2" applyFont="1" applyFill="1" applyBorder="1" applyAlignment="1">
      <alignment horizontal="center" vertical="center"/>
    </xf>
    <xf numFmtId="0" fontId="40" fillId="0" borderId="74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0" fillId="0" borderId="38" xfId="2" applyFont="1" applyFill="1" applyBorder="1" applyAlignment="1">
      <alignment horizontal="center" vertical="center"/>
    </xf>
    <xf numFmtId="0" fontId="40" fillId="0" borderId="53" xfId="2" applyFont="1" applyFill="1" applyBorder="1" applyAlignment="1">
      <alignment horizontal="center" vertical="center"/>
    </xf>
    <xf numFmtId="0" fontId="40" fillId="0" borderId="54" xfId="2" applyFont="1" applyFill="1" applyBorder="1" applyAlignment="1">
      <alignment horizontal="center" vertical="center"/>
    </xf>
    <xf numFmtId="0" fontId="39" fillId="0" borderId="18" xfId="2" applyFont="1" applyBorder="1" applyAlignment="1">
      <alignment horizontal="center" vertical="center" textRotation="255" wrapText="1"/>
    </xf>
    <xf numFmtId="0" fontId="39" fillId="0" borderId="25" xfId="2" applyFont="1" applyBorder="1" applyAlignment="1">
      <alignment horizontal="center" vertical="center" textRotation="255" wrapText="1"/>
    </xf>
    <xf numFmtId="0" fontId="39" fillId="0" borderId="22" xfId="2" applyFont="1" applyBorder="1" applyAlignment="1">
      <alignment horizontal="center" vertical="center" textRotation="255" wrapText="1"/>
    </xf>
    <xf numFmtId="0" fontId="39" fillId="0" borderId="38" xfId="2" applyFont="1" applyBorder="1" applyAlignment="1">
      <alignment horizontal="center" vertical="center" textRotation="255" wrapText="1"/>
    </xf>
    <xf numFmtId="0" fontId="39" fillId="0" borderId="0" xfId="2" applyFont="1" applyBorder="1" applyAlignment="1">
      <alignment horizontal="center" vertical="center" textRotation="255" wrapText="1"/>
    </xf>
    <xf numFmtId="0" fontId="39" fillId="0" borderId="14" xfId="2" applyFont="1" applyBorder="1" applyAlignment="1">
      <alignment horizontal="center" vertical="center" textRotation="255" wrapText="1"/>
    </xf>
    <xf numFmtId="0" fontId="39" fillId="0" borderId="49" xfId="2" applyFont="1" applyBorder="1" applyAlignment="1">
      <alignment horizontal="center" vertical="center" textRotation="255" wrapText="1"/>
    </xf>
    <xf numFmtId="0" fontId="38" fillId="0" borderId="67" xfId="2" applyFont="1" applyBorder="1" applyAlignment="1">
      <alignment horizontal="center" vertical="center"/>
    </xf>
    <xf numFmtId="0" fontId="39" fillId="0" borderId="68" xfId="2" applyFont="1" applyBorder="1" applyAlignment="1">
      <alignment horizontal="center" vertical="center"/>
    </xf>
    <xf numFmtId="0" fontId="39" fillId="0" borderId="69" xfId="2" applyFont="1" applyBorder="1" applyAlignment="1">
      <alignment horizontal="center" vertical="center"/>
    </xf>
    <xf numFmtId="0" fontId="38" fillId="0" borderId="19" xfId="2" applyFont="1" applyBorder="1" applyAlignment="1">
      <alignment horizontal="center" vertical="center" wrapText="1"/>
    </xf>
    <xf numFmtId="0" fontId="39" fillId="0" borderId="19" xfId="2" applyFont="1" applyBorder="1" applyAlignment="1">
      <alignment horizontal="center" vertical="center"/>
    </xf>
    <xf numFmtId="0" fontId="39" fillId="0" borderId="25" xfId="2" applyFont="1" applyBorder="1" applyAlignment="1">
      <alignment horizontal="center" vertical="center"/>
    </xf>
    <xf numFmtId="0" fontId="39" fillId="0" borderId="53" xfId="2" applyFont="1" applyBorder="1" applyAlignment="1">
      <alignment horizontal="center" vertical="center"/>
    </xf>
    <xf numFmtId="0" fontId="39" fillId="0" borderId="54" xfId="2" applyFont="1" applyBorder="1" applyAlignment="1">
      <alignment horizontal="center" vertical="center"/>
    </xf>
    <xf numFmtId="0" fontId="39" fillId="0" borderId="24" xfId="2" applyFont="1" applyBorder="1" applyAlignment="1">
      <alignment horizontal="center" vertical="center"/>
    </xf>
    <xf numFmtId="0" fontId="39" fillId="0" borderId="20" xfId="2" applyFont="1" applyBorder="1" applyAlignment="1">
      <alignment horizontal="center" vertical="center"/>
    </xf>
    <xf numFmtId="0" fontId="39" fillId="0" borderId="52" xfId="2" applyFont="1" applyBorder="1" applyAlignment="1">
      <alignment horizontal="center" vertical="center"/>
    </xf>
    <xf numFmtId="0" fontId="39" fillId="0" borderId="55" xfId="2" applyFont="1" applyBorder="1" applyAlignment="1">
      <alignment horizontal="center" vertical="center"/>
    </xf>
    <xf numFmtId="0" fontId="39" fillId="0" borderId="124" xfId="2" applyFont="1" applyBorder="1" applyAlignment="1">
      <alignment horizontal="center" vertical="center"/>
    </xf>
    <xf numFmtId="0" fontId="39" fillId="0" borderId="125" xfId="2" applyFont="1" applyBorder="1" applyAlignment="1">
      <alignment horizontal="center" vertical="center"/>
    </xf>
    <xf numFmtId="0" fontId="39" fillId="0" borderId="70" xfId="2" applyFont="1" applyBorder="1" applyAlignment="1">
      <alignment horizontal="center" vertical="center"/>
    </xf>
    <xf numFmtId="176" fontId="38" fillId="0" borderId="66" xfId="2" applyNumberFormat="1" applyFont="1" applyBorder="1" applyAlignment="1">
      <alignment horizontal="center" vertical="center"/>
    </xf>
    <xf numFmtId="176" fontId="38" fillId="0" borderId="6" xfId="2" applyNumberFormat="1" applyFont="1" applyBorder="1" applyAlignment="1">
      <alignment horizontal="center" vertical="center"/>
    </xf>
    <xf numFmtId="176" fontId="38" fillId="0" borderId="14" xfId="2" applyNumberFormat="1" applyFont="1" applyBorder="1" applyAlignment="1">
      <alignment horizontal="center" vertical="center"/>
    </xf>
    <xf numFmtId="176" fontId="38" fillId="0" borderId="15" xfId="2" applyNumberFormat="1" applyFont="1" applyBorder="1" applyAlignment="1">
      <alignment horizontal="center" vertical="center"/>
    </xf>
    <xf numFmtId="176" fontId="38" fillId="0" borderId="5" xfId="2" applyNumberFormat="1" applyFont="1" applyBorder="1" applyAlignment="1">
      <alignment horizontal="center" vertical="center"/>
    </xf>
    <xf numFmtId="176" fontId="38" fillId="0" borderId="65" xfId="2" applyNumberFormat="1" applyFont="1" applyBorder="1" applyAlignment="1">
      <alignment horizontal="center" vertical="center"/>
    </xf>
    <xf numFmtId="0" fontId="39" fillId="0" borderId="57" xfId="2" applyFont="1" applyFill="1" applyBorder="1" applyAlignment="1">
      <alignment horizontal="center" vertical="center" wrapText="1"/>
    </xf>
    <xf numFmtId="0" fontId="39" fillId="0" borderId="58" xfId="2" applyFont="1" applyFill="1" applyBorder="1" applyAlignment="1">
      <alignment horizontal="center" vertical="center" wrapText="1"/>
    </xf>
    <xf numFmtId="0" fontId="39" fillId="0" borderId="60" xfId="2" applyFont="1" applyFill="1" applyBorder="1" applyAlignment="1">
      <alignment horizontal="center" vertical="center" wrapText="1"/>
    </xf>
    <xf numFmtId="0" fontId="39" fillId="0" borderId="0" xfId="2" applyFont="1" applyFill="1" applyBorder="1" applyAlignment="1">
      <alignment horizontal="center" vertical="center" wrapText="1"/>
    </xf>
    <xf numFmtId="0" fontId="39" fillId="0" borderId="38" xfId="2" applyFont="1" applyFill="1" applyBorder="1" applyAlignment="1">
      <alignment horizontal="center" vertical="center" wrapText="1"/>
    </xf>
    <xf numFmtId="0" fontId="39" fillId="0" borderId="9" xfId="2" applyFont="1" applyFill="1" applyBorder="1" applyAlignment="1">
      <alignment horizontal="center" vertical="center" wrapText="1"/>
    </xf>
    <xf numFmtId="0" fontId="39" fillId="0" borderId="10" xfId="2" applyFont="1" applyFill="1" applyBorder="1" applyAlignment="1">
      <alignment horizontal="center" vertical="center" wrapText="1"/>
    </xf>
    <xf numFmtId="0" fontId="41" fillId="0" borderId="56" xfId="2" applyFont="1" applyFill="1" applyBorder="1" applyAlignment="1">
      <alignment horizontal="center" vertical="center" wrapText="1"/>
    </xf>
    <xf numFmtId="0" fontId="41" fillId="0" borderId="57" xfId="2" applyFont="1" applyFill="1" applyBorder="1" applyAlignment="1">
      <alignment horizontal="center" vertical="center"/>
    </xf>
    <xf numFmtId="0" fontId="41" fillId="0" borderId="58" xfId="2" applyFont="1" applyFill="1" applyBorder="1" applyAlignment="1">
      <alignment horizontal="center" vertical="center"/>
    </xf>
    <xf numFmtId="0" fontId="41" fillId="0" borderId="60" xfId="2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center" vertical="center"/>
    </xf>
    <xf numFmtId="0" fontId="41" fillId="0" borderId="38" xfId="2" applyFont="1" applyFill="1" applyBorder="1" applyAlignment="1">
      <alignment horizontal="center" vertical="center"/>
    </xf>
    <xf numFmtId="0" fontId="41" fillId="0" borderId="8" xfId="2" applyFont="1" applyFill="1" applyBorder="1" applyAlignment="1">
      <alignment horizontal="center" vertical="center"/>
    </xf>
    <xf numFmtId="0" fontId="41" fillId="0" borderId="9" xfId="2" applyFont="1" applyFill="1" applyBorder="1" applyAlignment="1">
      <alignment horizontal="center" vertical="center"/>
    </xf>
    <xf numFmtId="0" fontId="41" fillId="0" borderId="10" xfId="2" applyFont="1" applyFill="1" applyBorder="1" applyAlignment="1">
      <alignment horizontal="center" vertical="center"/>
    </xf>
    <xf numFmtId="0" fontId="39" fillId="0" borderId="59" xfId="2" applyFont="1" applyFill="1" applyBorder="1" applyAlignment="1">
      <alignment horizontal="center" vertical="center" wrapText="1"/>
    </xf>
    <xf numFmtId="0" fontId="39" fillId="0" borderId="30" xfId="2" applyFont="1" applyFill="1" applyBorder="1" applyAlignment="1">
      <alignment horizontal="center" vertical="center" wrapText="1"/>
    </xf>
    <xf numFmtId="0" fontId="39" fillId="0" borderId="8" xfId="2" applyFont="1" applyFill="1" applyBorder="1" applyAlignment="1">
      <alignment horizontal="center" vertical="center" wrapText="1"/>
    </xf>
    <xf numFmtId="0" fontId="39" fillId="0" borderId="61" xfId="2" applyFont="1" applyFill="1" applyBorder="1" applyAlignment="1">
      <alignment horizontal="center" vertical="center" wrapText="1"/>
    </xf>
    <xf numFmtId="0" fontId="4" fillId="0" borderId="15" xfId="2" applyBorder="1" applyAlignment="1">
      <alignment horizontal="center" vertical="center" shrinkToFit="1"/>
    </xf>
    <xf numFmtId="0" fontId="4" fillId="0" borderId="49" xfId="2" applyBorder="1" applyAlignment="1">
      <alignment horizontal="center" vertical="center" shrinkToFit="1"/>
    </xf>
    <xf numFmtId="0" fontId="37" fillId="0" borderId="125" xfId="2" applyFont="1" applyBorder="1" applyAlignment="1">
      <alignment horizontal="center" vertical="center"/>
    </xf>
    <xf numFmtId="0" fontId="37" fillId="0" borderId="70" xfId="2" applyFont="1" applyBorder="1" applyAlignment="1">
      <alignment horizontal="center" vertical="center"/>
    </xf>
    <xf numFmtId="0" fontId="37" fillId="0" borderId="3" xfId="2" applyFont="1" applyBorder="1" applyAlignment="1">
      <alignment horizontal="center" vertical="center"/>
    </xf>
    <xf numFmtId="179" fontId="38" fillId="0" borderId="118" xfId="2" applyNumberFormat="1" applyFont="1" applyFill="1" applyBorder="1" applyAlignment="1">
      <alignment horizontal="center" vertical="center"/>
    </xf>
    <xf numFmtId="179" fontId="38" fillId="0" borderId="119" xfId="2" applyNumberFormat="1" applyFont="1" applyFill="1" applyBorder="1" applyAlignment="1">
      <alignment horizontal="center" vertical="center"/>
    </xf>
    <xf numFmtId="179" fontId="38" fillId="0" borderId="120" xfId="2" applyNumberFormat="1" applyFont="1" applyFill="1" applyBorder="1" applyAlignment="1">
      <alignment horizontal="center" vertical="center"/>
    </xf>
    <xf numFmtId="179" fontId="38" fillId="0" borderId="121" xfId="2" applyNumberFormat="1" applyFont="1" applyFill="1" applyBorder="1" applyAlignment="1">
      <alignment horizontal="center" vertical="center"/>
    </xf>
    <xf numFmtId="179" fontId="38" fillId="0" borderId="122" xfId="2" applyNumberFormat="1" applyFont="1" applyFill="1" applyBorder="1" applyAlignment="1">
      <alignment horizontal="center" vertical="center"/>
    </xf>
    <xf numFmtId="179" fontId="38" fillId="0" borderId="123" xfId="2" applyNumberFormat="1" applyFont="1" applyFill="1" applyBorder="1" applyAlignment="1">
      <alignment horizontal="center" vertical="center"/>
    </xf>
    <xf numFmtId="178" fontId="38" fillId="0" borderId="56" xfId="2" applyNumberFormat="1" applyFont="1" applyFill="1" applyBorder="1" applyAlignment="1">
      <alignment horizontal="center" vertical="center"/>
    </xf>
    <xf numFmtId="178" fontId="38" fillId="0" borderId="57" xfId="2" applyNumberFormat="1" applyFont="1" applyFill="1" applyBorder="1" applyAlignment="1">
      <alignment horizontal="center" vertical="center"/>
    </xf>
    <xf numFmtId="178" fontId="38" fillId="0" borderId="60" xfId="2" applyNumberFormat="1" applyFont="1" applyFill="1" applyBorder="1" applyAlignment="1">
      <alignment horizontal="center" vertical="center"/>
    </xf>
    <xf numFmtId="178" fontId="38" fillId="0" borderId="0" xfId="2" applyNumberFormat="1" applyFont="1" applyFill="1" applyBorder="1" applyAlignment="1">
      <alignment horizontal="center" vertical="center"/>
    </xf>
    <xf numFmtId="177" fontId="4" fillId="0" borderId="57" xfId="2" applyNumberFormat="1" applyFill="1" applyBorder="1" applyAlignment="1">
      <alignment horizontal="center" shrinkToFit="1"/>
    </xf>
    <xf numFmtId="177" fontId="4" fillId="0" borderId="58" xfId="2" applyNumberFormat="1" applyFill="1" applyBorder="1" applyAlignment="1">
      <alignment horizontal="center" shrinkToFit="1"/>
    </xf>
    <xf numFmtId="177" fontId="4" fillId="0" borderId="0" xfId="2" applyNumberFormat="1" applyFill="1" applyBorder="1" applyAlignment="1">
      <alignment horizontal="center" shrinkToFit="1"/>
    </xf>
    <xf numFmtId="177" fontId="4" fillId="0" borderId="38" xfId="2" applyNumberFormat="1" applyFill="1" applyBorder="1" applyAlignment="1">
      <alignment horizontal="center" shrinkToFit="1"/>
    </xf>
    <xf numFmtId="177" fontId="4" fillId="0" borderId="15" xfId="2" applyNumberFormat="1" applyFill="1" applyBorder="1" applyAlignment="1">
      <alignment horizontal="center" shrinkToFit="1"/>
    </xf>
    <xf numFmtId="177" fontId="4" fillId="0" borderId="49" xfId="2" applyNumberFormat="1" applyFill="1" applyBorder="1" applyAlignment="1">
      <alignment horizontal="center" shrinkToFit="1"/>
    </xf>
    <xf numFmtId="0" fontId="4" fillId="0" borderId="57" xfId="2" applyFill="1" applyBorder="1" applyAlignment="1">
      <alignment horizontal="right"/>
    </xf>
    <xf numFmtId="0" fontId="4" fillId="0" borderId="59" xfId="2" applyFill="1" applyBorder="1" applyAlignment="1">
      <alignment horizontal="right"/>
    </xf>
    <xf numFmtId="0" fontId="4" fillId="0" borderId="0" xfId="2" applyFill="1" applyBorder="1" applyAlignment="1">
      <alignment horizontal="right"/>
    </xf>
    <xf numFmtId="0" fontId="4" fillId="0" borderId="30" xfId="2" applyFill="1" applyBorder="1" applyAlignment="1">
      <alignment horizontal="right"/>
    </xf>
    <xf numFmtId="0" fontId="4" fillId="0" borderId="15" xfId="2" applyFill="1" applyBorder="1" applyAlignment="1">
      <alignment horizontal="right"/>
    </xf>
    <xf numFmtId="0" fontId="4" fillId="0" borderId="27" xfId="2" applyFill="1" applyBorder="1" applyAlignment="1">
      <alignment horizontal="right"/>
    </xf>
    <xf numFmtId="179" fontId="4" fillId="0" borderId="9" xfId="2" applyNumberFormat="1" applyFill="1" applyBorder="1" applyAlignment="1">
      <alignment horizontal="center" vertical="center" shrinkToFit="1"/>
    </xf>
    <xf numFmtId="0" fontId="38" fillId="0" borderId="18" xfId="2" applyFont="1" applyBorder="1" applyAlignment="1">
      <alignment horizontal="center" vertical="center"/>
    </xf>
    <xf numFmtId="0" fontId="39" fillId="0" borderId="62" xfId="2" applyFont="1" applyBorder="1" applyAlignment="1">
      <alignment horizontal="center" vertical="center"/>
    </xf>
    <xf numFmtId="177" fontId="31" fillId="8" borderId="56" xfId="2" applyNumberFormat="1" applyFont="1" applyFill="1" applyBorder="1" applyAlignment="1">
      <alignment horizontal="center" vertical="center"/>
    </xf>
    <xf numFmtId="177" fontId="31" fillId="8" borderId="57" xfId="2" applyNumberFormat="1" applyFont="1" applyFill="1" applyBorder="1" applyAlignment="1">
      <alignment horizontal="center" vertical="center"/>
    </xf>
    <xf numFmtId="177" fontId="31" fillId="8" borderId="60" xfId="2" applyNumberFormat="1" applyFont="1" applyFill="1" applyBorder="1" applyAlignment="1">
      <alignment horizontal="center" vertical="center"/>
    </xf>
    <xf numFmtId="177" fontId="31" fillId="8" borderId="0" xfId="2" applyNumberFormat="1" applyFont="1" applyFill="1" applyBorder="1" applyAlignment="1">
      <alignment horizontal="center" vertical="center"/>
    </xf>
    <xf numFmtId="0" fontId="39" fillId="0" borderId="15" xfId="2" applyFont="1" applyBorder="1" applyAlignment="1">
      <alignment horizontal="center" vertical="center" textRotation="255" wrapText="1"/>
    </xf>
    <xf numFmtId="0" fontId="32" fillId="0" borderId="124" xfId="2" applyFont="1" applyBorder="1" applyAlignment="1">
      <alignment horizontal="center" vertical="center"/>
    </xf>
    <xf numFmtId="0" fontId="40" fillId="0" borderId="125" xfId="2" applyFont="1" applyBorder="1" applyAlignment="1">
      <alignment horizontal="center" vertical="center"/>
    </xf>
    <xf numFmtId="0" fontId="40" fillId="0" borderId="70" xfId="2" applyFont="1" applyBorder="1" applyAlignment="1">
      <alignment horizontal="center" vertical="center"/>
    </xf>
    <xf numFmtId="0" fontId="20" fillId="0" borderId="125" xfId="2" applyFont="1" applyBorder="1" applyAlignment="1">
      <alignment horizontal="center" vertical="center"/>
    </xf>
    <xf numFmtId="0" fontId="20" fillId="0" borderId="70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</cellXfs>
  <cellStyles count="6">
    <cellStyle name="ハイパーリンク" xfId="3" builtinId="8"/>
    <cellStyle name="標準" xfId="0" builtinId="0"/>
    <cellStyle name="標準 2" xfId="1"/>
    <cellStyle name="標準 3" xfId="2"/>
    <cellStyle name="標準 3 2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361950</xdr:colOff>
      <xdr:row>0</xdr:row>
      <xdr:rowOff>47626</xdr:rowOff>
    </xdr:from>
    <xdr:to>
      <xdr:col>34</xdr:col>
      <xdr:colOff>1304925</xdr:colOff>
      <xdr:row>1</xdr:row>
      <xdr:rowOff>133351</xdr:rowOff>
    </xdr:to>
    <xdr:sp macro="" textlink="">
      <xdr:nvSpPr>
        <xdr:cNvPr id="3" name="正方形/長方形 2"/>
        <xdr:cNvSpPr/>
      </xdr:nvSpPr>
      <xdr:spPr>
        <a:xfrm>
          <a:off x="10163175" y="47626"/>
          <a:ext cx="942975" cy="304800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資料３－２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18</xdr:row>
      <xdr:rowOff>247651</xdr:rowOff>
    </xdr:from>
    <xdr:to>
      <xdr:col>18</xdr:col>
      <xdr:colOff>1038225</xdr:colOff>
      <xdr:row>24</xdr:row>
      <xdr:rowOff>0</xdr:rowOff>
    </xdr:to>
    <xdr:sp macro="" textlink="">
      <xdr:nvSpPr>
        <xdr:cNvPr id="2" name="正方形/長方形 1"/>
        <xdr:cNvSpPr/>
      </xdr:nvSpPr>
      <xdr:spPr>
        <a:xfrm>
          <a:off x="609600" y="7038976"/>
          <a:ext cx="12172950" cy="1162049"/>
        </a:xfrm>
        <a:prstGeom prst="rect">
          <a:avLst/>
        </a:prstGeom>
        <a:solidFill>
          <a:schemeClr val="bg1"/>
        </a:solidFill>
        <a:ln cmpd="dbl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</a:rPr>
            <a:t>算定方法</a:t>
          </a:r>
          <a:r>
            <a:rPr kumimoji="1" lang="en-US" altLang="ja-JP" sz="10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（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１）　　　　　　　　　　　　　　　　　　　　　　　　　　　　　　　　　　　　　　　　　　　　　　　　　　　　　　　　　　　　　　　　　　　　　　　（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訪問診療を受けている利用者の実数を示す直接的なデータがないため平成</a:t>
          </a:r>
          <a:r>
            <a:rPr kumimoji="1" lang="en-US" altLang="ja-JP" sz="1000">
              <a:solidFill>
                <a:sysClr val="windowText" lastClr="000000"/>
              </a:solidFill>
            </a:rPr>
            <a:t>27</a:t>
          </a:r>
          <a:r>
            <a:rPr kumimoji="1" lang="ja-JP" altLang="en-US" sz="1000">
              <a:solidFill>
                <a:sysClr val="windowText" lastClr="000000"/>
              </a:solidFill>
            </a:rPr>
            <a:t>年社会医療　　　　　　　　　　　　　　　　　　　平成</a:t>
          </a:r>
          <a:r>
            <a:rPr kumimoji="1" lang="en-US" altLang="ja-JP" sz="1000">
              <a:solidFill>
                <a:sysClr val="windowText" lastClr="000000"/>
              </a:solidFill>
            </a:rPr>
            <a:t>26</a:t>
          </a:r>
          <a:r>
            <a:rPr kumimoji="1" lang="ja-JP" altLang="en-US" sz="1000">
              <a:solidFill>
                <a:sysClr val="windowText" lastClr="000000"/>
              </a:solidFill>
            </a:rPr>
            <a:t>年度医療施設調査より算定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診療行為別調査（</a:t>
          </a:r>
          <a:r>
            <a:rPr kumimoji="1" lang="en-US" altLang="ja-JP" sz="1000">
              <a:solidFill>
                <a:sysClr val="windowText" lastClr="000000"/>
              </a:solidFill>
            </a:rPr>
            <a:t>6</a:t>
          </a:r>
          <a:r>
            <a:rPr kumimoji="1" lang="ja-JP" altLang="en-US" sz="1000">
              <a:solidFill>
                <a:sysClr val="windowText" lastClr="000000"/>
              </a:solidFill>
            </a:rPr>
            <a:t>月審査分）から、患者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人の１月あたりの訪問診療回数を算定。（全国）　　　　　　　　　　　　　　　　　　　　　⇒訪問診療実施件数（</a:t>
          </a:r>
          <a:r>
            <a:rPr kumimoji="1" lang="en-US" altLang="ja-JP" sz="1000">
              <a:solidFill>
                <a:sysClr val="windowText" lastClr="000000"/>
              </a:solidFill>
            </a:rPr>
            <a:t>107,714</a:t>
          </a:r>
          <a:r>
            <a:rPr kumimoji="1" lang="ja-JP" altLang="en-US" sz="1000">
              <a:solidFill>
                <a:sysClr val="windowText" lastClr="000000"/>
              </a:solidFill>
            </a:rPr>
            <a:t>）</a:t>
          </a:r>
          <a:r>
            <a:rPr kumimoji="1" lang="en-US" altLang="ja-JP" sz="1000">
              <a:solidFill>
                <a:sysClr val="windowText" lastClr="000000"/>
              </a:solidFill>
            </a:rPr>
            <a:t>÷</a:t>
          </a:r>
          <a:r>
            <a:rPr kumimoji="1" lang="ja-JP" altLang="en-US" sz="1000">
              <a:solidFill>
                <a:sysClr val="windowText" lastClr="000000"/>
              </a:solidFill>
            </a:rPr>
            <a:t>訪問診療機関（</a:t>
          </a:r>
          <a:r>
            <a:rPr kumimoji="1" lang="en-US" altLang="ja-JP" sz="1000">
              <a:solidFill>
                <a:sysClr val="windowText" lastClr="000000"/>
              </a:solidFill>
            </a:rPr>
            <a:t>2,156</a:t>
          </a:r>
          <a:r>
            <a:rPr kumimoji="1" lang="ja-JP" altLang="en-US" sz="1000">
              <a:solidFill>
                <a:sysClr val="windowText" lastClr="000000"/>
              </a:solidFill>
            </a:rPr>
            <a:t>）≒</a:t>
          </a:r>
          <a:r>
            <a:rPr kumimoji="1" lang="en-US" altLang="ja-JP" sz="1000">
              <a:solidFill>
                <a:sysClr val="windowText" lastClr="000000"/>
              </a:solidFill>
            </a:rPr>
            <a:t>49.96</a:t>
          </a:r>
          <a:r>
            <a:rPr kumimoji="1" lang="ja-JP" altLang="en-US" sz="1000">
              <a:solidFill>
                <a:sysClr val="windowText" lastClr="000000"/>
              </a:solidFill>
            </a:rPr>
            <a:t>回</a:t>
          </a:r>
          <a:r>
            <a:rPr kumimoji="1" lang="en-US" altLang="ja-JP" sz="1000">
              <a:solidFill>
                <a:sysClr val="windowText" lastClr="000000"/>
              </a:solidFill>
            </a:rPr>
            <a:t>/</a:t>
          </a:r>
          <a:r>
            <a:rPr kumimoji="1" lang="ja-JP" altLang="en-US" sz="1000">
              <a:solidFill>
                <a:sysClr val="windowText" lastClr="000000"/>
              </a:solidFill>
            </a:rPr>
            <a:t>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</a:t>
          </a:r>
          <a:r>
            <a:rPr kumimoji="1" lang="ja-JP" altLang="en-US" sz="1000" u="sng">
              <a:solidFill>
                <a:sysClr val="windowText" lastClr="000000"/>
              </a:solidFill>
            </a:rPr>
            <a:t>在宅患者訪問診療料　同一建物居住者以外　：　実施回数（</a:t>
          </a:r>
          <a:r>
            <a:rPr kumimoji="1" lang="en-US" altLang="ja-JP" sz="1000" u="sng">
              <a:solidFill>
                <a:sysClr val="windowText" lastClr="000000"/>
              </a:solidFill>
            </a:rPr>
            <a:t>676,782</a:t>
          </a:r>
          <a:r>
            <a:rPr kumimoji="1" lang="ja-JP" altLang="en-US" sz="1000" u="sng">
              <a:solidFill>
                <a:sysClr val="windowText" lastClr="000000"/>
              </a:solidFill>
            </a:rPr>
            <a:t>）</a:t>
          </a:r>
          <a:r>
            <a:rPr kumimoji="1" lang="en-US" altLang="ja-JP" sz="1000" u="sng">
              <a:solidFill>
                <a:sysClr val="windowText" lastClr="000000"/>
              </a:solidFill>
            </a:rPr>
            <a:t>÷</a:t>
          </a:r>
          <a:r>
            <a:rPr kumimoji="1" lang="ja-JP" altLang="en-US" sz="1000" u="sng">
              <a:solidFill>
                <a:sysClr val="windowText" lastClr="000000"/>
              </a:solidFill>
            </a:rPr>
            <a:t>請求件数（</a:t>
          </a:r>
          <a:r>
            <a:rPr kumimoji="1" lang="en-US" altLang="ja-JP" sz="1000" u="sng">
              <a:solidFill>
                <a:sysClr val="windowText" lastClr="000000"/>
              </a:solidFill>
            </a:rPr>
            <a:t>380,696</a:t>
          </a:r>
          <a:r>
            <a:rPr kumimoji="1" lang="ja-JP" altLang="en-US" sz="1000" u="sng">
              <a:solidFill>
                <a:sysClr val="windowText" lastClr="000000"/>
              </a:solidFill>
            </a:rPr>
            <a:t>）≒</a:t>
          </a:r>
          <a:r>
            <a:rPr kumimoji="1" lang="ja-JP" altLang="en-US" sz="1000" u="sng" baseline="0">
              <a:solidFill>
                <a:sysClr val="windowText" lastClr="000000"/>
              </a:solidFill>
            </a:rPr>
            <a:t> </a:t>
          </a:r>
          <a:r>
            <a:rPr kumimoji="1" lang="en-US" altLang="ja-JP" sz="1000" u="sng" baseline="0">
              <a:solidFill>
                <a:sysClr val="windowText" lastClr="000000"/>
              </a:solidFill>
            </a:rPr>
            <a:t>1.78</a:t>
          </a:r>
          <a:r>
            <a:rPr kumimoji="1" lang="ja-JP" altLang="en-US" sz="1000" u="sng" baseline="0">
              <a:solidFill>
                <a:sysClr val="windowText" lastClr="000000"/>
              </a:solidFill>
            </a:rPr>
            <a:t>回</a:t>
          </a:r>
          <a:r>
            <a:rPr kumimoji="1" lang="en-US" altLang="ja-JP" sz="1000" u="sng">
              <a:solidFill>
                <a:sysClr val="windowText" lastClr="000000"/>
              </a:solidFill>
            </a:rPr>
            <a:t>  </a:t>
          </a:r>
          <a:r>
            <a:rPr kumimoji="1" lang="ja-JP" altLang="en-US" sz="1000">
              <a:solidFill>
                <a:sysClr val="windowText" lastClr="000000"/>
              </a:solidFill>
            </a:rPr>
            <a:t>　　　　　　　　　　（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３）　平成２６年度医療施設調査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rgbClr val="FF0000"/>
            </a:solidFill>
          </a:endParaRPr>
        </a:p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38100</xdr:colOff>
      <xdr:row>12</xdr:row>
      <xdr:rowOff>47625</xdr:rowOff>
    </xdr:from>
    <xdr:to>
      <xdr:col>6</xdr:col>
      <xdr:colOff>466725</xdr:colOff>
      <xdr:row>12</xdr:row>
      <xdr:rowOff>257175</xdr:rowOff>
    </xdr:to>
    <xdr:sp macro="" textlink="">
      <xdr:nvSpPr>
        <xdr:cNvPr id="4" name="テキスト ボックス 3"/>
        <xdr:cNvSpPr txBox="1"/>
      </xdr:nvSpPr>
      <xdr:spPr>
        <a:xfrm>
          <a:off x="4924425" y="5019675"/>
          <a:ext cx="42862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３</a:t>
          </a:r>
        </a:p>
      </xdr:txBody>
    </xdr:sp>
    <xdr:clientData/>
  </xdr:twoCellAnchor>
  <xdr:twoCellAnchor>
    <xdr:from>
      <xdr:col>18</xdr:col>
      <xdr:colOff>257175</xdr:colOff>
      <xdr:row>0</xdr:row>
      <xdr:rowOff>57150</xdr:rowOff>
    </xdr:from>
    <xdr:to>
      <xdr:col>18</xdr:col>
      <xdr:colOff>1266824</xdr:colOff>
      <xdr:row>1</xdr:row>
      <xdr:rowOff>133350</xdr:rowOff>
    </xdr:to>
    <xdr:sp macro="" textlink="">
      <xdr:nvSpPr>
        <xdr:cNvPr id="5" name="正方形/長方形 4"/>
        <xdr:cNvSpPr/>
      </xdr:nvSpPr>
      <xdr:spPr>
        <a:xfrm>
          <a:off x="12001500" y="57150"/>
          <a:ext cx="1009649" cy="2952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資料３－３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81756</xdr:colOff>
      <xdr:row>58</xdr:row>
      <xdr:rowOff>63501</xdr:rowOff>
    </xdr:from>
    <xdr:to>
      <xdr:col>39</xdr:col>
      <xdr:colOff>95251</xdr:colOff>
      <xdr:row>62</xdr:row>
      <xdr:rowOff>1</xdr:rowOff>
    </xdr:to>
    <xdr:sp macro="" textlink="">
      <xdr:nvSpPr>
        <xdr:cNvPr id="5" name="フローチャート: 処理 4"/>
        <xdr:cNvSpPr/>
      </xdr:nvSpPr>
      <xdr:spPr>
        <a:xfrm>
          <a:off x="8527256" y="12382501"/>
          <a:ext cx="3331370" cy="698500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2025</a:t>
          </a:r>
          <a:r>
            <a:rPr kumimoji="1" lang="ja-JP" altLang="en-US" sz="1400">
              <a:solidFill>
                <a:sysClr val="windowText" lastClr="000000"/>
              </a:solidFill>
            </a:rPr>
            <a:t>年（平成</a:t>
          </a:r>
          <a:r>
            <a:rPr kumimoji="1" lang="en-US" altLang="ja-JP" sz="1400">
              <a:solidFill>
                <a:sysClr val="windowText" lastClr="000000"/>
              </a:solidFill>
            </a:rPr>
            <a:t>37</a:t>
          </a:r>
          <a:r>
            <a:rPr kumimoji="1" lang="ja-JP" altLang="en-US" sz="1400">
              <a:solidFill>
                <a:sysClr val="windowText" lastClr="000000"/>
              </a:solidFill>
            </a:rPr>
            <a:t>年）目標に到達する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としてここでは</a:t>
          </a:r>
          <a:r>
            <a:rPr kumimoji="1" lang="en-US" altLang="ja-JP" sz="1400">
              <a:solidFill>
                <a:sysClr val="windowText" lastClr="000000"/>
              </a:solidFill>
            </a:rPr>
            <a:t>0</a:t>
          </a:r>
          <a:r>
            <a:rPr kumimoji="1" lang="ja-JP" altLang="en-US" sz="1400">
              <a:solidFill>
                <a:sysClr val="windowText" lastClr="000000"/>
              </a:solidFill>
            </a:rPr>
            <a:t>としています。</a:t>
          </a:r>
        </a:p>
      </xdr:txBody>
    </xdr:sp>
    <xdr:clientData/>
  </xdr:twoCellAnchor>
  <xdr:twoCellAnchor>
    <xdr:from>
      <xdr:col>0</xdr:col>
      <xdr:colOff>196662</xdr:colOff>
      <xdr:row>65</xdr:row>
      <xdr:rowOff>168090</xdr:rowOff>
    </xdr:from>
    <xdr:to>
      <xdr:col>39</xdr:col>
      <xdr:colOff>9338</xdr:colOff>
      <xdr:row>77</xdr:row>
      <xdr:rowOff>100853</xdr:rowOff>
    </xdr:to>
    <xdr:sp macro="" textlink="">
      <xdr:nvSpPr>
        <xdr:cNvPr id="8" name="正方形/長方形 7"/>
        <xdr:cNvSpPr/>
      </xdr:nvSpPr>
      <xdr:spPr>
        <a:xfrm>
          <a:off x="196662" y="14063384"/>
          <a:ext cx="10738411" cy="1972234"/>
        </a:xfrm>
        <a:prstGeom prst="rect">
          <a:avLst/>
        </a:prstGeom>
        <a:solidFill>
          <a:schemeClr val="bg1"/>
        </a:solidFill>
        <a:ln cmpd="dbl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（</a:t>
          </a:r>
          <a:r>
            <a:rPr kumimoji="1" lang="en-US" altLang="ja-JP" sz="1400">
              <a:solidFill>
                <a:sysClr val="windowText" lastClr="000000"/>
              </a:solidFill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</a:rPr>
            <a:t>１）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訪問診療を受けている利用者の実数を示す直接的なデータがないため、平成</a:t>
          </a:r>
          <a:r>
            <a:rPr kumimoji="1" lang="en-US" altLang="ja-JP" sz="1400">
              <a:solidFill>
                <a:sysClr val="windowText" lastClr="000000"/>
              </a:solidFill>
            </a:rPr>
            <a:t>27</a:t>
          </a:r>
          <a:r>
            <a:rPr kumimoji="1" lang="ja-JP" altLang="en-US" sz="1400">
              <a:solidFill>
                <a:sysClr val="windowText" lastClr="000000"/>
              </a:solidFill>
            </a:rPr>
            <a:t>年社会医療診療行為別調査（</a:t>
          </a:r>
          <a:r>
            <a:rPr kumimoji="1" lang="en-US" altLang="ja-JP" sz="1400">
              <a:solidFill>
                <a:sysClr val="windowText" lastClr="000000"/>
              </a:solidFill>
            </a:rPr>
            <a:t>6</a:t>
          </a:r>
          <a:r>
            <a:rPr kumimoji="1" lang="ja-JP" altLang="en-US" sz="1400">
              <a:solidFill>
                <a:sysClr val="windowText" lastClr="000000"/>
              </a:solidFill>
            </a:rPr>
            <a:t>月審査分）より、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患者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人の１月あたりの訪問診療回数から算定。（全国）　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ja-JP" sz="14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在宅患者訪問診療料</a:t>
          </a:r>
          <a:r>
            <a:rPr kumimoji="1" lang="ja-JP" altLang="en-US" sz="14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4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同一建物居住者以外</a:t>
          </a:r>
          <a:r>
            <a:rPr kumimoji="1" lang="ja-JP" altLang="en-US" sz="14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4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：　実施回数（</a:t>
          </a:r>
          <a:r>
            <a:rPr kumimoji="1" lang="en-US" altLang="ja-JP" sz="14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676,782</a:t>
          </a:r>
          <a:r>
            <a:rPr kumimoji="1" lang="ja-JP" altLang="ja-JP" sz="14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en-US" altLang="ja-JP" sz="14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÷</a:t>
          </a:r>
          <a:r>
            <a:rPr kumimoji="1" lang="ja-JP" altLang="ja-JP" sz="14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請求件数（</a:t>
          </a:r>
          <a:r>
            <a:rPr kumimoji="1" lang="en-US" altLang="ja-JP" sz="14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380,696</a:t>
          </a:r>
          <a:r>
            <a:rPr kumimoji="1" lang="ja-JP" altLang="ja-JP" sz="14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）≒</a:t>
          </a:r>
          <a:r>
            <a:rPr kumimoji="1" lang="ja-JP" altLang="ja-JP" sz="14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4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1.78</a:t>
          </a:r>
          <a:r>
            <a:rPr kumimoji="1" lang="ja-JP" altLang="ja-JP" sz="14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回</a:t>
          </a:r>
          <a:r>
            <a:rPr kumimoji="1" lang="en-US" altLang="ja-JP" sz="14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（</a:t>
          </a:r>
          <a:r>
            <a:rPr kumimoji="1" lang="en-US" altLang="ja-JP" sz="1400">
              <a:solidFill>
                <a:sysClr val="windowText" lastClr="000000"/>
              </a:solidFill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</a:rPr>
            <a:t>２）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訪問診療実施件数（</a:t>
          </a:r>
          <a:r>
            <a:rPr kumimoji="1" lang="en-US" altLang="ja-JP" sz="1400">
              <a:solidFill>
                <a:sysClr val="windowText" lastClr="000000"/>
              </a:solidFill>
            </a:rPr>
            <a:t>107,714</a:t>
          </a:r>
          <a:r>
            <a:rPr kumimoji="1" lang="ja-JP" altLang="en-US" sz="1400">
              <a:solidFill>
                <a:sysClr val="windowText" lastClr="000000"/>
              </a:solidFill>
            </a:rPr>
            <a:t>件）</a:t>
          </a:r>
          <a:r>
            <a:rPr kumimoji="1" lang="en-US" altLang="ja-JP" sz="1400">
              <a:solidFill>
                <a:sysClr val="windowText" lastClr="000000"/>
              </a:solidFill>
            </a:rPr>
            <a:t>÷</a:t>
          </a:r>
          <a:r>
            <a:rPr kumimoji="1" lang="ja-JP" altLang="en-US" sz="1400">
              <a:solidFill>
                <a:sysClr val="windowText" lastClr="000000"/>
              </a:solidFill>
            </a:rPr>
            <a:t>訪問医療機関（</a:t>
          </a:r>
          <a:r>
            <a:rPr kumimoji="1" lang="en-US" altLang="ja-JP" sz="1400">
              <a:solidFill>
                <a:sysClr val="windowText" lastClr="000000"/>
              </a:solidFill>
            </a:rPr>
            <a:t>2,156</a:t>
          </a:r>
          <a:r>
            <a:rPr kumimoji="1" lang="ja-JP" altLang="en-US" sz="1400">
              <a:solidFill>
                <a:sysClr val="windowText" lastClr="000000"/>
              </a:solidFill>
            </a:rPr>
            <a:t>人）＝</a:t>
          </a:r>
          <a:r>
            <a:rPr kumimoji="1" lang="en-US" altLang="ja-JP" sz="1400">
              <a:solidFill>
                <a:sysClr val="windowText" lastClr="000000"/>
              </a:solidFill>
            </a:rPr>
            <a:t>49.96011...</a:t>
          </a:r>
          <a:r>
            <a:rPr kumimoji="1" lang="ja-JP" altLang="en-US" sz="1400">
              <a:solidFill>
                <a:sysClr val="windowText" lastClr="000000"/>
              </a:solidFill>
            </a:rPr>
            <a:t>≒</a:t>
          </a:r>
          <a:r>
            <a:rPr kumimoji="1" lang="en-US" altLang="ja-JP" sz="1400">
              <a:solidFill>
                <a:sysClr val="windowText" lastClr="000000"/>
              </a:solidFill>
            </a:rPr>
            <a:t>49.96</a:t>
          </a:r>
          <a:r>
            <a:rPr kumimoji="1" lang="ja-JP" altLang="en-US" sz="1400">
              <a:solidFill>
                <a:sysClr val="windowText" lastClr="000000"/>
              </a:solidFill>
            </a:rPr>
            <a:t>回</a:t>
          </a:r>
          <a:r>
            <a:rPr kumimoji="1" lang="en-US" altLang="ja-JP" sz="1400">
              <a:solidFill>
                <a:sysClr val="windowText" lastClr="000000"/>
              </a:solidFill>
            </a:rPr>
            <a:t>/</a:t>
          </a:r>
          <a:r>
            <a:rPr kumimoji="1" lang="ja-JP" altLang="en-US" sz="1400">
              <a:solidFill>
                <a:sysClr val="windowText" lastClr="000000"/>
              </a:solidFill>
            </a:rPr>
            <a:t>月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257741</xdr:colOff>
      <xdr:row>0</xdr:row>
      <xdr:rowOff>158751</xdr:rowOff>
    </xdr:from>
    <xdr:to>
      <xdr:col>39</xdr:col>
      <xdr:colOff>31288</xdr:colOff>
      <xdr:row>3</xdr:row>
      <xdr:rowOff>78442</xdr:rowOff>
    </xdr:to>
    <xdr:sp macro="" textlink="">
      <xdr:nvSpPr>
        <xdr:cNvPr id="9" name="フローチャート: 処理 8"/>
        <xdr:cNvSpPr/>
      </xdr:nvSpPr>
      <xdr:spPr>
        <a:xfrm>
          <a:off x="9782741" y="158751"/>
          <a:ext cx="1174282" cy="423956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資料３－４</a:t>
          </a:r>
        </a:p>
      </xdr:txBody>
    </xdr:sp>
    <xdr:clientData/>
  </xdr:twoCellAnchor>
  <xdr:twoCellAnchor>
    <xdr:from>
      <xdr:col>20</xdr:col>
      <xdr:colOff>114300</xdr:colOff>
      <xdr:row>84</xdr:row>
      <xdr:rowOff>57150</xdr:rowOff>
    </xdr:from>
    <xdr:to>
      <xdr:col>23</xdr:col>
      <xdr:colOff>123825</xdr:colOff>
      <xdr:row>85</xdr:row>
      <xdr:rowOff>95250</xdr:rowOff>
    </xdr:to>
    <xdr:sp macro="" textlink="">
      <xdr:nvSpPr>
        <xdr:cNvPr id="10" name="テキスト ボックス 9"/>
        <xdr:cNvSpPr txBox="1"/>
      </xdr:nvSpPr>
      <xdr:spPr>
        <a:xfrm>
          <a:off x="5591175" y="16928306"/>
          <a:ext cx="831056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20</xdr:col>
      <xdr:colOff>28575</xdr:colOff>
      <xdr:row>105</xdr:row>
      <xdr:rowOff>47625</xdr:rowOff>
    </xdr:from>
    <xdr:to>
      <xdr:col>23</xdr:col>
      <xdr:colOff>38100</xdr:colOff>
      <xdr:row>106</xdr:row>
      <xdr:rowOff>85725</xdr:rowOff>
    </xdr:to>
    <xdr:sp macro="" textlink="">
      <xdr:nvSpPr>
        <xdr:cNvPr id="12" name="テキスト ボックス 11"/>
        <xdr:cNvSpPr txBox="1"/>
      </xdr:nvSpPr>
      <xdr:spPr>
        <a:xfrm>
          <a:off x="4467225" y="15744825"/>
          <a:ext cx="66675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0</xdr:col>
      <xdr:colOff>23813</xdr:colOff>
      <xdr:row>22</xdr:row>
      <xdr:rowOff>178595</xdr:rowOff>
    </xdr:from>
    <xdr:to>
      <xdr:col>38</xdr:col>
      <xdr:colOff>190500</xdr:colOff>
      <xdr:row>24</xdr:row>
      <xdr:rowOff>86251</xdr:rowOff>
    </xdr:to>
    <xdr:sp macro="" textlink="">
      <xdr:nvSpPr>
        <xdr:cNvPr id="13" name="右中かっこ 12"/>
        <xdr:cNvSpPr/>
      </xdr:nvSpPr>
      <xdr:spPr>
        <a:xfrm rot="5400000">
          <a:off x="5570673" y="-403359"/>
          <a:ext cx="383906" cy="1147762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47624</xdr:colOff>
      <xdr:row>92</xdr:row>
      <xdr:rowOff>71439</xdr:rowOff>
    </xdr:from>
    <xdr:to>
      <xdr:col>39</xdr:col>
      <xdr:colOff>119061</xdr:colOff>
      <xdr:row>94</xdr:row>
      <xdr:rowOff>59533</xdr:rowOff>
    </xdr:to>
    <xdr:sp macro="" textlink="">
      <xdr:nvSpPr>
        <xdr:cNvPr id="15" name="右中かっこ 14"/>
        <xdr:cNvSpPr/>
      </xdr:nvSpPr>
      <xdr:spPr>
        <a:xfrm rot="5400000">
          <a:off x="5655468" y="15525751"/>
          <a:ext cx="464344" cy="11680031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54</xdr:row>
      <xdr:rowOff>11907</xdr:rowOff>
    </xdr:from>
    <xdr:to>
      <xdr:col>39</xdr:col>
      <xdr:colOff>71438</xdr:colOff>
      <xdr:row>55</xdr:row>
      <xdr:rowOff>214314</xdr:rowOff>
    </xdr:to>
    <xdr:sp macro="" textlink="">
      <xdr:nvSpPr>
        <xdr:cNvPr id="17" name="右中かっこ 16"/>
        <xdr:cNvSpPr/>
      </xdr:nvSpPr>
      <xdr:spPr>
        <a:xfrm rot="5400000">
          <a:off x="4030266" y="9042797"/>
          <a:ext cx="440532" cy="8501063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</xdr:colOff>
      <xdr:row>58</xdr:row>
      <xdr:rowOff>188119</xdr:rowOff>
    </xdr:from>
    <xdr:to>
      <xdr:col>29</xdr:col>
      <xdr:colOff>142875</xdr:colOff>
      <xdr:row>61</xdr:row>
      <xdr:rowOff>146175</xdr:rowOff>
    </xdr:to>
    <xdr:sp macro="" textlink="">
      <xdr:nvSpPr>
        <xdr:cNvPr id="18" name="右中かっこ 17"/>
        <xdr:cNvSpPr/>
      </xdr:nvSpPr>
      <xdr:spPr>
        <a:xfrm rot="16200000">
          <a:off x="7843380" y="12371055"/>
          <a:ext cx="529556" cy="1333496"/>
        </a:xfrm>
        <a:prstGeom prst="rightBrace">
          <a:avLst/>
        </a:prstGeom>
        <a:scene3d>
          <a:camera prst="orthographicFront">
            <a:rot lat="0" lon="0" rev="16200000"/>
          </a:camera>
          <a:lightRig rig="threePt" dir="t"/>
        </a:scene3d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112</xdr:row>
      <xdr:rowOff>202409</xdr:rowOff>
    </xdr:from>
    <xdr:to>
      <xdr:col>39</xdr:col>
      <xdr:colOff>190500</xdr:colOff>
      <xdr:row>115</xdr:row>
      <xdr:rowOff>79376</xdr:rowOff>
    </xdr:to>
    <xdr:sp macro="" textlink="">
      <xdr:nvSpPr>
        <xdr:cNvPr id="20" name="右中かっこ 19"/>
        <xdr:cNvSpPr/>
      </xdr:nvSpPr>
      <xdr:spPr>
        <a:xfrm rot="5400000">
          <a:off x="5744767" y="18047892"/>
          <a:ext cx="464342" cy="1195387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+@sum(h59..H61)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4"/>
  <sheetViews>
    <sheetView tabSelected="1" zoomScaleNormal="100" workbookViewId="0">
      <selection activeCell="AI27" sqref="AI27"/>
    </sheetView>
  </sheetViews>
  <sheetFormatPr defaultRowHeight="13.5"/>
  <cols>
    <col min="1" max="1" width="0.375" style="68" customWidth="1"/>
    <col min="2" max="3" width="3.875" style="68" customWidth="1"/>
    <col min="4" max="4" width="2.875" style="68" customWidth="1"/>
    <col min="5" max="5" width="8.875" style="68" customWidth="1"/>
    <col min="6" max="6" width="3.125" style="68" customWidth="1"/>
    <col min="7" max="7" width="12.5" style="68" customWidth="1"/>
    <col min="8" max="8" width="12.125" style="68" customWidth="1"/>
    <col min="9" max="10" width="4.5" style="68" customWidth="1"/>
    <col min="11" max="18" width="4.5" style="68" hidden="1" customWidth="1"/>
    <col min="19" max="34" width="4.5" style="68" customWidth="1"/>
    <col min="35" max="35" width="18.125" style="68" customWidth="1"/>
    <col min="36" max="36" width="0.875" style="68" customWidth="1"/>
    <col min="37" max="37" width="4.625" style="68" customWidth="1"/>
    <col min="38" max="16384" width="9" style="68"/>
  </cols>
  <sheetData>
    <row r="1" spans="1:37" ht="17.25">
      <c r="C1" s="187" t="s">
        <v>134</v>
      </c>
      <c r="H1" s="174"/>
      <c r="AA1" s="93"/>
      <c r="AB1" s="93"/>
      <c r="AC1" s="93"/>
      <c r="AD1" s="93"/>
      <c r="AE1" s="93"/>
      <c r="AF1" s="93"/>
      <c r="AG1" s="93"/>
      <c r="AH1" s="93"/>
      <c r="AI1" s="93"/>
    </row>
    <row r="2" spans="1:37" ht="12" customHeight="1">
      <c r="AA2" s="245"/>
      <c r="AB2" s="246"/>
      <c r="AC2" s="246"/>
      <c r="AD2" s="246"/>
      <c r="AE2" s="246"/>
      <c r="AF2" s="246"/>
      <c r="AG2" s="246"/>
      <c r="AH2" s="246"/>
      <c r="AI2" s="246"/>
    </row>
    <row r="3" spans="1:37" ht="12" customHeight="1">
      <c r="J3" s="266" t="s">
        <v>118</v>
      </c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</row>
    <row r="4" spans="1:37" ht="12.75" customHeight="1">
      <c r="C4" s="247"/>
      <c r="D4" s="248"/>
      <c r="E4" s="248"/>
      <c r="F4" s="248"/>
      <c r="G4" s="248"/>
      <c r="H4" s="248"/>
      <c r="I4" s="248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173" t="s">
        <v>135</v>
      </c>
    </row>
    <row r="5" spans="1:37" s="70" customFormat="1" ht="6" customHeight="1" thickBot="1">
      <c r="A5" s="69"/>
      <c r="B5" s="69"/>
    </row>
    <row r="6" spans="1:37" s="70" customFormat="1" ht="19.5" customHeight="1" thickBot="1">
      <c r="A6" s="69"/>
      <c r="B6" s="69"/>
      <c r="I6" s="250" t="s">
        <v>56</v>
      </c>
      <c r="J6" s="251"/>
      <c r="K6" s="251"/>
      <c r="L6" s="251"/>
      <c r="M6" s="251"/>
      <c r="N6" s="251"/>
      <c r="O6" s="251"/>
      <c r="P6" s="251"/>
      <c r="Q6" s="251"/>
      <c r="R6" s="251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3"/>
    </row>
    <row r="7" spans="1:37" s="70" customFormat="1" ht="19.5" customHeight="1" thickBot="1">
      <c r="A7" s="69"/>
      <c r="B7" s="69"/>
      <c r="C7" s="254" t="s">
        <v>57</v>
      </c>
      <c r="D7" s="255"/>
      <c r="E7" s="255"/>
      <c r="F7" s="255"/>
      <c r="G7" s="255"/>
      <c r="H7" s="256"/>
      <c r="I7" s="257" t="s">
        <v>58</v>
      </c>
      <c r="J7" s="257"/>
      <c r="K7" s="257"/>
      <c r="L7" s="257"/>
      <c r="M7" s="257"/>
      <c r="N7" s="257"/>
      <c r="O7" s="257"/>
      <c r="P7" s="257"/>
      <c r="Q7" s="257"/>
      <c r="R7" s="257"/>
      <c r="S7" s="258" t="s">
        <v>59</v>
      </c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9" t="s">
        <v>60</v>
      </c>
      <c r="AF7" s="259"/>
      <c r="AG7" s="259"/>
      <c r="AH7" s="259"/>
      <c r="AI7" s="194" t="s">
        <v>99</v>
      </c>
      <c r="AJ7" s="195"/>
    </row>
    <row r="8" spans="1:37" s="70" customFormat="1" ht="19.5" customHeight="1" thickBot="1">
      <c r="A8" s="69"/>
      <c r="B8" s="69"/>
      <c r="C8" s="260" t="s">
        <v>61</v>
      </c>
      <c r="D8" s="261"/>
      <c r="E8" s="261"/>
      <c r="F8" s="261"/>
      <c r="G8" s="261"/>
      <c r="H8" s="261"/>
      <c r="I8" s="262" t="s">
        <v>58</v>
      </c>
      <c r="J8" s="262"/>
      <c r="K8" s="262"/>
      <c r="L8" s="262"/>
      <c r="M8" s="263" t="s">
        <v>62</v>
      </c>
      <c r="N8" s="263"/>
      <c r="O8" s="263"/>
      <c r="P8" s="263"/>
      <c r="Q8" s="263"/>
      <c r="R8" s="263"/>
      <c r="S8" s="264" t="s">
        <v>59</v>
      </c>
      <c r="T8" s="264"/>
      <c r="U8" s="264"/>
      <c r="V8" s="264"/>
      <c r="W8" s="264"/>
      <c r="X8" s="264"/>
      <c r="Y8" s="264" t="s">
        <v>60</v>
      </c>
      <c r="Z8" s="264"/>
      <c r="AA8" s="264"/>
      <c r="AB8" s="264"/>
      <c r="AC8" s="264"/>
      <c r="AD8" s="264"/>
      <c r="AE8" s="265" t="s">
        <v>63</v>
      </c>
      <c r="AF8" s="265"/>
      <c r="AG8" s="265"/>
      <c r="AH8" s="265"/>
      <c r="AI8" s="196"/>
      <c r="AJ8" s="197"/>
    </row>
    <row r="9" spans="1:37" s="71" customFormat="1" ht="28.5" customHeight="1" thickBot="1">
      <c r="C9" s="215"/>
      <c r="D9" s="216"/>
      <c r="E9" s="216"/>
      <c r="F9" s="216"/>
      <c r="G9" s="216"/>
      <c r="H9" s="216"/>
      <c r="I9" s="217" t="s">
        <v>64</v>
      </c>
      <c r="J9" s="218"/>
      <c r="K9" s="219" t="s">
        <v>65</v>
      </c>
      <c r="L9" s="220"/>
      <c r="M9" s="221" t="s">
        <v>66</v>
      </c>
      <c r="N9" s="222"/>
      <c r="O9" s="221" t="s">
        <v>67</v>
      </c>
      <c r="P9" s="222"/>
      <c r="Q9" s="221" t="s">
        <v>68</v>
      </c>
      <c r="R9" s="237"/>
      <c r="S9" s="238" t="s">
        <v>69</v>
      </c>
      <c r="T9" s="222"/>
      <c r="U9" s="221" t="s">
        <v>70</v>
      </c>
      <c r="V9" s="237"/>
      <c r="W9" s="223" t="s">
        <v>71</v>
      </c>
      <c r="X9" s="239"/>
      <c r="Y9" s="240" t="s">
        <v>72</v>
      </c>
      <c r="Z9" s="222"/>
      <c r="AA9" s="221" t="s">
        <v>73</v>
      </c>
      <c r="AB9" s="222"/>
      <c r="AC9" s="223" t="s">
        <v>74</v>
      </c>
      <c r="AD9" s="224"/>
      <c r="AE9" s="219" t="s">
        <v>75</v>
      </c>
      <c r="AF9" s="220"/>
      <c r="AG9" s="225" t="s">
        <v>76</v>
      </c>
      <c r="AH9" s="226"/>
      <c r="AI9" s="198"/>
      <c r="AJ9" s="199"/>
    </row>
    <row r="10" spans="1:37" ht="33.75" customHeight="1" thickBot="1">
      <c r="B10" s="68" t="s">
        <v>113</v>
      </c>
      <c r="C10" s="227" t="s">
        <v>77</v>
      </c>
      <c r="D10" s="228"/>
      <c r="E10" s="228"/>
      <c r="F10" s="228"/>
      <c r="G10" s="228"/>
      <c r="H10" s="229"/>
      <c r="I10" s="230"/>
      <c r="J10" s="201"/>
      <c r="K10" s="231"/>
      <c r="L10" s="232"/>
      <c r="M10" s="233">
        <f t="shared" ref="M10" si="0">+M11+M12</f>
        <v>27576</v>
      </c>
      <c r="N10" s="232"/>
      <c r="O10" s="233">
        <f t="shared" ref="O10" si="1">+O11+O12</f>
        <v>28660</v>
      </c>
      <c r="P10" s="232"/>
      <c r="Q10" s="233">
        <f t="shared" ref="Q10" si="2">+Q11+Q12</f>
        <v>29491</v>
      </c>
      <c r="R10" s="234"/>
      <c r="S10" s="235">
        <f t="shared" ref="S10" si="3">+S11+S12</f>
        <v>9114</v>
      </c>
      <c r="T10" s="236"/>
      <c r="U10" s="243">
        <f t="shared" ref="U10" si="4">+U11+U12</f>
        <v>9491</v>
      </c>
      <c r="V10" s="236"/>
      <c r="W10" s="241">
        <f t="shared" ref="W10" si="5">+W11+W12</f>
        <v>9869</v>
      </c>
      <c r="X10" s="244"/>
      <c r="Y10" s="277">
        <f t="shared" ref="Y10" si="6">+Y11+Y12</f>
        <v>10246</v>
      </c>
      <c r="Z10" s="236"/>
      <c r="AA10" s="243">
        <f t="shared" ref="AA10" si="7">+AA11+AA12</f>
        <v>10623</v>
      </c>
      <c r="AB10" s="236"/>
      <c r="AC10" s="241">
        <f t="shared" ref="AC10" si="8">+AC11+AC12</f>
        <v>11001</v>
      </c>
      <c r="AD10" s="242"/>
      <c r="AE10" s="235">
        <f t="shared" ref="AE10" si="9">+AE11+AE12</f>
        <v>11378</v>
      </c>
      <c r="AF10" s="236"/>
      <c r="AG10" s="241">
        <f>+AG11+AG12</f>
        <v>11755</v>
      </c>
      <c r="AH10" s="242"/>
      <c r="AI10" s="200"/>
      <c r="AJ10" s="201"/>
    </row>
    <row r="11" spans="1:37" ht="30.75" customHeight="1" thickBot="1">
      <c r="C11" s="97"/>
      <c r="D11" s="267" t="s">
        <v>78</v>
      </c>
      <c r="E11" s="268"/>
      <c r="F11" s="268"/>
      <c r="G11" s="268"/>
      <c r="H11" s="269"/>
      <c r="I11" s="270">
        <v>7227</v>
      </c>
      <c r="J11" s="271"/>
      <c r="K11" s="272">
        <f>+ROUND($I11+($AG11-$I11)/12,0)</f>
        <v>7604</v>
      </c>
      <c r="L11" s="273"/>
      <c r="M11" s="274">
        <f>+ROUND($I11+($AG11-$I11)*2/12,0)</f>
        <v>7982</v>
      </c>
      <c r="N11" s="273"/>
      <c r="O11" s="274">
        <f>+ROUND($I11+($AG11-$I11)*3/12,0)</f>
        <v>8359</v>
      </c>
      <c r="P11" s="273"/>
      <c r="Q11" s="274">
        <f>+ROUND($I11+($AG11-$I11)*4/12,0)</f>
        <v>8736</v>
      </c>
      <c r="R11" s="275"/>
      <c r="S11" s="272">
        <f>+ROUNDUP($I11+($AG11-$I11)*5/12,0)</f>
        <v>9114</v>
      </c>
      <c r="T11" s="273"/>
      <c r="U11" s="274">
        <f>+ROUNDUP($I11+($AG11-$I11)*6/12,0)</f>
        <v>9491</v>
      </c>
      <c r="V11" s="273"/>
      <c r="W11" s="274">
        <f>+ROUNDUP($I11+($AG11-$I11)*7/12,0)</f>
        <v>9869</v>
      </c>
      <c r="X11" s="276"/>
      <c r="Y11" s="278">
        <f>+ROUNDUP($I11+($AG11-$I11)*8/12,0)</f>
        <v>10246</v>
      </c>
      <c r="Z11" s="273"/>
      <c r="AA11" s="274">
        <f>+ROUNDUP($I11+($AG11-$I11)*9/12,0)</f>
        <v>10623</v>
      </c>
      <c r="AB11" s="273"/>
      <c r="AC11" s="274">
        <f>+ROUNDUP($I11+($AG11-$I11)*10/12,0)</f>
        <v>11001</v>
      </c>
      <c r="AD11" s="275"/>
      <c r="AE11" s="272">
        <f>+ROUNDUP($I11+($AG11-$I11)*11/12,0)</f>
        <v>11378</v>
      </c>
      <c r="AF11" s="273"/>
      <c r="AG11" s="279">
        <v>11755</v>
      </c>
      <c r="AH11" s="280"/>
      <c r="AI11" s="202" t="s">
        <v>98</v>
      </c>
      <c r="AJ11" s="203"/>
      <c r="AK11" s="136"/>
    </row>
    <row r="12" spans="1:37" ht="30.75" customHeight="1" thickBot="1">
      <c r="C12" s="72"/>
      <c r="D12" s="281" t="s">
        <v>79</v>
      </c>
      <c r="E12" s="282"/>
      <c r="F12" s="282"/>
      <c r="G12" s="282"/>
      <c r="H12" s="283"/>
      <c r="I12" s="284"/>
      <c r="J12" s="285"/>
      <c r="K12" s="286"/>
      <c r="L12" s="287"/>
      <c r="M12" s="288">
        <v>19594</v>
      </c>
      <c r="N12" s="287"/>
      <c r="O12" s="288">
        <v>20301</v>
      </c>
      <c r="P12" s="287"/>
      <c r="Q12" s="288">
        <v>20755</v>
      </c>
      <c r="R12" s="304"/>
      <c r="S12" s="291"/>
      <c r="T12" s="292"/>
      <c r="U12" s="305"/>
      <c r="V12" s="292"/>
      <c r="W12" s="289"/>
      <c r="X12" s="306"/>
      <c r="Y12" s="307"/>
      <c r="Z12" s="292"/>
      <c r="AA12" s="305"/>
      <c r="AB12" s="292"/>
      <c r="AC12" s="289"/>
      <c r="AD12" s="290"/>
      <c r="AE12" s="291"/>
      <c r="AF12" s="292"/>
      <c r="AG12" s="293"/>
      <c r="AH12" s="294"/>
      <c r="AI12" s="204"/>
      <c r="AJ12" s="205"/>
    </row>
    <row r="13" spans="1:37" ht="33.75" customHeight="1" thickBot="1">
      <c r="B13" s="68" t="s">
        <v>114</v>
      </c>
      <c r="C13" s="295" t="s">
        <v>80</v>
      </c>
      <c r="D13" s="228"/>
      <c r="E13" s="228"/>
      <c r="F13" s="228"/>
      <c r="G13" s="228"/>
      <c r="H13" s="229"/>
      <c r="I13" s="296"/>
      <c r="J13" s="297"/>
      <c r="K13" s="298" t="s">
        <v>81</v>
      </c>
      <c r="L13" s="299"/>
      <c r="M13" s="300" t="s">
        <v>81</v>
      </c>
      <c r="N13" s="299"/>
      <c r="O13" s="300" t="s">
        <v>81</v>
      </c>
      <c r="P13" s="299"/>
      <c r="Q13" s="300" t="s">
        <v>81</v>
      </c>
      <c r="R13" s="301"/>
      <c r="S13" s="302">
        <f>+S24</f>
        <v>374</v>
      </c>
      <c r="T13" s="303"/>
      <c r="U13" s="327">
        <f t="shared" ref="U13" si="10">+U24</f>
        <v>747</v>
      </c>
      <c r="V13" s="303"/>
      <c r="W13" s="313">
        <f t="shared" ref="W13" si="11">+W24</f>
        <v>1121</v>
      </c>
      <c r="X13" s="328"/>
      <c r="Y13" s="329">
        <f t="shared" ref="Y13" si="12">+Y24</f>
        <v>1494</v>
      </c>
      <c r="Z13" s="303"/>
      <c r="AA13" s="327">
        <f t="shared" ref="AA13" si="13">+AA24</f>
        <v>1867</v>
      </c>
      <c r="AB13" s="303"/>
      <c r="AC13" s="313">
        <f t="shared" ref="AC13" si="14">+AC24</f>
        <v>2241</v>
      </c>
      <c r="AD13" s="314"/>
      <c r="AE13" s="302">
        <f t="shared" ref="AE13" si="15">+AE24</f>
        <v>2614</v>
      </c>
      <c r="AF13" s="303"/>
      <c r="AG13" s="313">
        <f t="shared" ref="AG13" si="16">+AG24</f>
        <v>2987</v>
      </c>
      <c r="AH13" s="314"/>
      <c r="AI13" s="206"/>
      <c r="AJ13" s="207"/>
    </row>
    <row r="14" spans="1:37" ht="42" customHeight="1" thickTop="1" thickBot="1">
      <c r="C14" s="73"/>
      <c r="D14" s="315" t="s">
        <v>82</v>
      </c>
      <c r="E14" s="316"/>
      <c r="F14" s="316"/>
      <c r="G14" s="320" t="s">
        <v>116</v>
      </c>
      <c r="H14" s="321"/>
      <c r="I14" s="322" t="s">
        <v>83</v>
      </c>
      <c r="J14" s="323"/>
      <c r="K14" s="322" t="s">
        <v>83</v>
      </c>
      <c r="L14" s="324"/>
      <c r="M14" s="325" t="s">
        <v>83</v>
      </c>
      <c r="N14" s="324"/>
      <c r="O14" s="325" t="s">
        <v>83</v>
      </c>
      <c r="P14" s="324"/>
      <c r="Q14" s="325" t="s">
        <v>83</v>
      </c>
      <c r="R14" s="323"/>
      <c r="S14" s="326">
        <f>S13-S16-S17</f>
        <v>264</v>
      </c>
      <c r="T14" s="308"/>
      <c r="U14" s="308">
        <f t="shared" ref="U14" si="17">U13-U16-U17</f>
        <v>528</v>
      </c>
      <c r="V14" s="308"/>
      <c r="W14" s="308">
        <f t="shared" ref="W14" si="18">W13-W16-W17</f>
        <v>792</v>
      </c>
      <c r="X14" s="309"/>
      <c r="Y14" s="310">
        <f t="shared" ref="Y14" si="19">Y13-Y16-Y17</f>
        <v>929</v>
      </c>
      <c r="Z14" s="308"/>
      <c r="AA14" s="308">
        <f t="shared" ref="AA14" si="20">AA13-AA16-AA17</f>
        <v>1066</v>
      </c>
      <c r="AB14" s="308"/>
      <c r="AC14" s="308">
        <f t="shared" ref="AC14" si="21">AC13-AC16-AC17</f>
        <v>1204</v>
      </c>
      <c r="AD14" s="311"/>
      <c r="AE14" s="312">
        <f t="shared" ref="AE14" si="22">AE13-AE16-AE17</f>
        <v>1341</v>
      </c>
      <c r="AF14" s="308"/>
      <c r="AG14" s="308">
        <f t="shared" ref="AG14" si="23">AG13-AG16-AG17</f>
        <v>1479</v>
      </c>
      <c r="AH14" s="311"/>
      <c r="AI14" s="208" t="s">
        <v>103</v>
      </c>
      <c r="AJ14" s="209"/>
      <c r="AK14" s="137"/>
    </row>
    <row r="15" spans="1:37" ht="28.5" customHeight="1" thickTop="1" thickBot="1">
      <c r="C15" s="73"/>
      <c r="D15" s="317"/>
      <c r="E15" s="318"/>
      <c r="F15" s="319"/>
      <c r="G15" s="348" t="s">
        <v>84</v>
      </c>
      <c r="H15" s="319"/>
      <c r="I15" s="349" t="s">
        <v>85</v>
      </c>
      <c r="J15" s="350"/>
      <c r="K15" s="339" t="s">
        <v>85</v>
      </c>
      <c r="L15" s="340"/>
      <c r="M15" s="341" t="s">
        <v>85</v>
      </c>
      <c r="N15" s="340"/>
      <c r="O15" s="341" t="s">
        <v>85</v>
      </c>
      <c r="P15" s="340"/>
      <c r="Q15" s="341" t="s">
        <v>85</v>
      </c>
      <c r="R15" s="342"/>
      <c r="S15" s="336">
        <v>110</v>
      </c>
      <c r="T15" s="331"/>
      <c r="U15" s="343">
        <v>219</v>
      </c>
      <c r="V15" s="331"/>
      <c r="W15" s="344">
        <v>329</v>
      </c>
      <c r="X15" s="345"/>
      <c r="Y15" s="346">
        <v>386</v>
      </c>
      <c r="Z15" s="331"/>
      <c r="AA15" s="343">
        <v>443</v>
      </c>
      <c r="AB15" s="331"/>
      <c r="AC15" s="344">
        <v>500</v>
      </c>
      <c r="AD15" s="347"/>
      <c r="AE15" s="330">
        <v>557</v>
      </c>
      <c r="AF15" s="331"/>
      <c r="AG15" s="332">
        <v>613</v>
      </c>
      <c r="AH15" s="333"/>
      <c r="AI15" s="210"/>
      <c r="AJ15" s="189"/>
    </row>
    <row r="16" spans="1:37" ht="28.5" customHeight="1" thickBot="1">
      <c r="C16" s="72"/>
      <c r="D16" s="295" t="s">
        <v>86</v>
      </c>
      <c r="E16" s="387"/>
      <c r="F16" s="361"/>
      <c r="G16" s="295" t="s">
        <v>87</v>
      </c>
      <c r="H16" s="361"/>
      <c r="I16" s="362"/>
      <c r="J16" s="363"/>
      <c r="K16" s="298" t="s">
        <v>85</v>
      </c>
      <c r="L16" s="299"/>
      <c r="M16" s="300" t="s">
        <v>85</v>
      </c>
      <c r="N16" s="299"/>
      <c r="O16" s="300" t="s">
        <v>85</v>
      </c>
      <c r="P16" s="299"/>
      <c r="Q16" s="300" t="s">
        <v>85</v>
      </c>
      <c r="R16" s="301"/>
      <c r="S16" s="334">
        <v>0</v>
      </c>
      <c r="T16" s="335"/>
      <c r="U16" s="355">
        <v>0</v>
      </c>
      <c r="V16" s="335"/>
      <c r="W16" s="356">
        <v>0</v>
      </c>
      <c r="X16" s="357"/>
      <c r="Y16" s="358">
        <v>179</v>
      </c>
      <c r="Z16" s="335"/>
      <c r="AA16" s="355">
        <v>358</v>
      </c>
      <c r="AB16" s="335"/>
      <c r="AC16" s="356">
        <v>537</v>
      </c>
      <c r="AD16" s="359"/>
      <c r="AE16" s="360">
        <v>716</v>
      </c>
      <c r="AF16" s="335"/>
      <c r="AG16" s="351">
        <v>895</v>
      </c>
      <c r="AH16" s="352"/>
      <c r="AI16" s="211"/>
      <c r="AJ16" s="212"/>
    </row>
    <row r="17" spans="2:37" ht="42.75" customHeight="1" thickTop="1" thickBot="1">
      <c r="C17" s="72"/>
      <c r="D17" s="388"/>
      <c r="E17" s="389"/>
      <c r="F17" s="390"/>
      <c r="G17" s="353" t="s">
        <v>117</v>
      </c>
      <c r="H17" s="354"/>
      <c r="I17" s="322" t="s">
        <v>88</v>
      </c>
      <c r="J17" s="323"/>
      <c r="K17" s="322" t="s">
        <v>88</v>
      </c>
      <c r="L17" s="324"/>
      <c r="M17" s="325" t="s">
        <v>88</v>
      </c>
      <c r="N17" s="324"/>
      <c r="O17" s="325" t="s">
        <v>88</v>
      </c>
      <c r="P17" s="324"/>
      <c r="Q17" s="325" t="s">
        <v>88</v>
      </c>
      <c r="R17" s="323"/>
      <c r="S17" s="326">
        <f>ROUNDUP((S13-S16)*0.293,0)</f>
        <v>110</v>
      </c>
      <c r="T17" s="308"/>
      <c r="U17" s="308">
        <f t="shared" ref="U17" si="24">ROUNDUP((U13-U16)*0.293,0)</f>
        <v>219</v>
      </c>
      <c r="V17" s="308"/>
      <c r="W17" s="308">
        <f t="shared" ref="W17" si="25">ROUNDUP((W13-W16)*0.293,0)</f>
        <v>329</v>
      </c>
      <c r="X17" s="309"/>
      <c r="Y17" s="310">
        <f t="shared" ref="Y17" si="26">ROUNDUP((Y13-Y16)*0.293,0)</f>
        <v>386</v>
      </c>
      <c r="Z17" s="308"/>
      <c r="AA17" s="308">
        <f t="shared" ref="AA17" si="27">ROUNDUP((AA13-AA16)*0.293,0)</f>
        <v>443</v>
      </c>
      <c r="AB17" s="308"/>
      <c r="AC17" s="308">
        <f t="shared" ref="AC17" si="28">ROUNDUP((AC13-AC16)*0.293,0)</f>
        <v>500</v>
      </c>
      <c r="AD17" s="311"/>
      <c r="AE17" s="312">
        <f t="shared" ref="AE17" si="29">ROUNDUP((AE13-AE16)*0.293,0)</f>
        <v>557</v>
      </c>
      <c r="AF17" s="308"/>
      <c r="AG17" s="308">
        <f t="shared" ref="AG17" si="30">ROUNDUP((AG13-AG16)*0.293,0)</f>
        <v>613</v>
      </c>
      <c r="AH17" s="311"/>
      <c r="AI17" s="213"/>
      <c r="AJ17" s="214"/>
    </row>
    <row r="18" spans="2:37" ht="28.5" customHeight="1" thickTop="1" thickBot="1">
      <c r="C18" s="72"/>
      <c r="D18" s="388"/>
      <c r="E18" s="390"/>
      <c r="F18" s="338"/>
      <c r="G18" s="337" t="s">
        <v>89</v>
      </c>
      <c r="H18" s="338"/>
      <c r="I18" s="98"/>
      <c r="J18" s="99"/>
      <c r="K18" s="339" t="s">
        <v>88</v>
      </c>
      <c r="L18" s="340"/>
      <c r="M18" s="341" t="s">
        <v>88</v>
      </c>
      <c r="N18" s="340"/>
      <c r="O18" s="341" t="s">
        <v>88</v>
      </c>
      <c r="P18" s="340"/>
      <c r="Q18" s="341" t="s">
        <v>88</v>
      </c>
      <c r="R18" s="342"/>
      <c r="S18" s="371">
        <v>-110</v>
      </c>
      <c r="T18" s="372"/>
      <c r="U18" s="382">
        <v>-219</v>
      </c>
      <c r="V18" s="372"/>
      <c r="W18" s="383">
        <v>-329</v>
      </c>
      <c r="X18" s="384"/>
      <c r="Y18" s="385">
        <v>-386</v>
      </c>
      <c r="Z18" s="372"/>
      <c r="AA18" s="382">
        <v>-443</v>
      </c>
      <c r="AB18" s="372"/>
      <c r="AC18" s="383">
        <v>-500</v>
      </c>
      <c r="AD18" s="386"/>
      <c r="AE18" s="371">
        <v>-557</v>
      </c>
      <c r="AF18" s="372"/>
      <c r="AG18" s="373">
        <v>-613</v>
      </c>
      <c r="AH18" s="374"/>
      <c r="AI18" s="188"/>
      <c r="AJ18" s="189"/>
    </row>
    <row r="19" spans="2:37" ht="27.75" customHeight="1" thickBot="1">
      <c r="B19" s="68" t="s">
        <v>115</v>
      </c>
      <c r="C19" s="375" t="s">
        <v>90</v>
      </c>
      <c r="D19" s="376"/>
      <c r="E19" s="376"/>
      <c r="F19" s="376"/>
      <c r="G19" s="376"/>
      <c r="H19" s="377"/>
      <c r="I19" s="378" t="s">
        <v>83</v>
      </c>
      <c r="J19" s="379"/>
      <c r="K19" s="378" t="s">
        <v>83</v>
      </c>
      <c r="L19" s="380"/>
      <c r="M19" s="381" t="s">
        <v>83</v>
      </c>
      <c r="N19" s="380"/>
      <c r="O19" s="381" t="s">
        <v>83</v>
      </c>
      <c r="P19" s="380"/>
      <c r="Q19" s="381" t="s">
        <v>83</v>
      </c>
      <c r="R19" s="379"/>
      <c r="S19" s="370">
        <f>+S27</f>
        <v>64</v>
      </c>
      <c r="T19" s="367"/>
      <c r="U19" s="368">
        <f t="shared" ref="U19" si="31">+U27</f>
        <v>128</v>
      </c>
      <c r="V19" s="367"/>
      <c r="W19" s="364">
        <f t="shared" ref="W19" si="32">+W27</f>
        <v>191</v>
      </c>
      <c r="X19" s="365"/>
      <c r="Y19" s="366">
        <f t="shared" ref="Y19" si="33">+Y27</f>
        <v>255</v>
      </c>
      <c r="Z19" s="367"/>
      <c r="AA19" s="368">
        <f t="shared" ref="AA19" si="34">+AA27</f>
        <v>319</v>
      </c>
      <c r="AB19" s="367"/>
      <c r="AC19" s="364">
        <f t="shared" ref="AC19" si="35">+AC27</f>
        <v>382</v>
      </c>
      <c r="AD19" s="369"/>
      <c r="AE19" s="370">
        <f t="shared" ref="AE19" si="36">+AE27</f>
        <v>446</v>
      </c>
      <c r="AF19" s="367"/>
      <c r="AG19" s="313">
        <f t="shared" ref="AG19" si="37">+AG27</f>
        <v>509</v>
      </c>
      <c r="AH19" s="314"/>
      <c r="AI19" s="190"/>
      <c r="AJ19" s="191"/>
    </row>
    <row r="20" spans="2:37" ht="33.75" customHeight="1" thickTop="1" thickBot="1">
      <c r="C20" s="406" t="s">
        <v>91</v>
      </c>
      <c r="D20" s="407"/>
      <c r="E20" s="407"/>
      <c r="F20" s="407"/>
      <c r="G20" s="407"/>
      <c r="H20" s="408"/>
      <c r="I20" s="391"/>
      <c r="J20" s="394"/>
      <c r="K20" s="409"/>
      <c r="L20" s="410"/>
      <c r="M20" s="411"/>
      <c r="N20" s="410"/>
      <c r="O20" s="411"/>
      <c r="P20" s="410"/>
      <c r="Q20" s="411"/>
      <c r="R20" s="412"/>
      <c r="S20" s="391">
        <f>S10+S14+S15</f>
        <v>9488</v>
      </c>
      <c r="T20" s="392"/>
      <c r="U20" s="393">
        <f>U10+U14+U15</f>
        <v>10238</v>
      </c>
      <c r="V20" s="392"/>
      <c r="W20" s="393">
        <f>W10+W14+W15</f>
        <v>10990</v>
      </c>
      <c r="X20" s="404"/>
      <c r="Y20" s="405">
        <f>Y10+Y14+Y15</f>
        <v>11561</v>
      </c>
      <c r="Z20" s="392"/>
      <c r="AA20" s="393">
        <f>AA10+AA14+AA15</f>
        <v>12132</v>
      </c>
      <c r="AB20" s="392"/>
      <c r="AC20" s="393">
        <f>AC10+AC14+AC15</f>
        <v>12705</v>
      </c>
      <c r="AD20" s="394"/>
      <c r="AE20" s="391">
        <f>AE10+AE14+AE15</f>
        <v>13276</v>
      </c>
      <c r="AF20" s="392"/>
      <c r="AG20" s="393">
        <f>AG10+AG14+AG15</f>
        <v>13847</v>
      </c>
      <c r="AH20" s="394"/>
      <c r="AI20" s="192"/>
      <c r="AJ20" s="193"/>
    </row>
    <row r="21" spans="2:37" s="69" customFormat="1" ht="18" customHeight="1" thickTop="1">
      <c r="C21" s="74"/>
      <c r="D21" s="75"/>
      <c r="E21" s="75"/>
      <c r="F21" s="75"/>
      <c r="G21" s="75"/>
      <c r="H21" s="75"/>
      <c r="I21" s="76"/>
      <c r="J21" s="76"/>
      <c r="K21" s="77"/>
      <c r="L21" s="77"/>
      <c r="M21" s="77"/>
      <c r="N21" s="77"/>
      <c r="O21" s="77"/>
      <c r="P21" s="77"/>
      <c r="Q21" s="77"/>
      <c r="R21" s="77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9"/>
    </row>
    <row r="22" spans="2:37" ht="18" customHeight="1" thickBot="1">
      <c r="C22" s="395" t="s">
        <v>92</v>
      </c>
      <c r="D22" s="396"/>
      <c r="E22" s="396"/>
      <c r="F22" s="396"/>
      <c r="G22" s="396"/>
      <c r="H22" s="396"/>
      <c r="I22" s="76"/>
      <c r="J22" s="76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1"/>
      <c r="AH22" s="82"/>
      <c r="AI22" s="83"/>
    </row>
    <row r="23" spans="2:37" s="71" customFormat="1" ht="26.25" customHeight="1" thickBot="1">
      <c r="C23" s="215"/>
      <c r="D23" s="216"/>
      <c r="E23" s="216"/>
      <c r="F23" s="216"/>
      <c r="G23" s="216"/>
      <c r="H23" s="216"/>
      <c r="I23" s="217" t="s">
        <v>64</v>
      </c>
      <c r="J23" s="218"/>
      <c r="K23" s="219" t="s">
        <v>65</v>
      </c>
      <c r="L23" s="397"/>
      <c r="M23" s="398" t="s">
        <v>66</v>
      </c>
      <c r="N23" s="399"/>
      <c r="O23" s="398" t="s">
        <v>67</v>
      </c>
      <c r="P23" s="399"/>
      <c r="Q23" s="400" t="s">
        <v>68</v>
      </c>
      <c r="R23" s="401"/>
      <c r="S23" s="402" t="s">
        <v>69</v>
      </c>
      <c r="T23" s="403"/>
      <c r="U23" s="413" t="s">
        <v>70</v>
      </c>
      <c r="V23" s="414"/>
      <c r="W23" s="413" t="s">
        <v>71</v>
      </c>
      <c r="X23" s="429"/>
      <c r="Y23" s="430" t="s">
        <v>72</v>
      </c>
      <c r="Z23" s="431"/>
      <c r="AA23" s="432" t="s">
        <v>73</v>
      </c>
      <c r="AB23" s="431"/>
      <c r="AC23" s="432" t="s">
        <v>74</v>
      </c>
      <c r="AD23" s="433"/>
      <c r="AE23" s="434" t="s">
        <v>75</v>
      </c>
      <c r="AF23" s="435"/>
      <c r="AG23" s="217" t="s">
        <v>76</v>
      </c>
      <c r="AH23" s="218"/>
      <c r="AI23" s="134"/>
    </row>
    <row r="24" spans="2:37" ht="18.75" customHeight="1" thickBot="1">
      <c r="C24" s="73"/>
      <c r="D24" s="415" t="s">
        <v>93</v>
      </c>
      <c r="E24" s="416"/>
      <c r="F24" s="416"/>
      <c r="G24" s="416"/>
      <c r="H24" s="416"/>
      <c r="I24" s="417" t="s">
        <v>94</v>
      </c>
      <c r="J24" s="418"/>
      <c r="K24" s="419" t="s">
        <v>94</v>
      </c>
      <c r="L24" s="420"/>
      <c r="M24" s="421" t="s">
        <v>94</v>
      </c>
      <c r="N24" s="422"/>
      <c r="O24" s="421" t="s">
        <v>94</v>
      </c>
      <c r="P24" s="422"/>
      <c r="Q24" s="423" t="s">
        <v>94</v>
      </c>
      <c r="R24" s="424"/>
      <c r="S24" s="425">
        <f>+ROUNDUP($AG24*1/8,0)</f>
        <v>374</v>
      </c>
      <c r="T24" s="426"/>
      <c r="U24" s="427">
        <f>+ROUNDUP($AG24*2/8,0)</f>
        <v>747</v>
      </c>
      <c r="V24" s="427"/>
      <c r="W24" s="428">
        <f>+ROUNDUP($AG24*3/8,0)</f>
        <v>1121</v>
      </c>
      <c r="X24" s="426"/>
      <c r="Y24" s="436">
        <f>+ROUNDUP($AG24*4/8,0)</f>
        <v>1494</v>
      </c>
      <c r="Z24" s="426"/>
      <c r="AA24" s="427">
        <f>+ROUNDUP($AG24*5/8,0)</f>
        <v>1867</v>
      </c>
      <c r="AB24" s="427"/>
      <c r="AC24" s="427">
        <f>+ROUNDUP($AG24*6/8,0)</f>
        <v>2241</v>
      </c>
      <c r="AD24" s="427"/>
      <c r="AE24" s="428">
        <f>+ROUNDUP($AG24*7/8,0)</f>
        <v>2614</v>
      </c>
      <c r="AF24" s="437"/>
      <c r="AG24" s="438">
        <f>+SUM(AG25:AG26)</f>
        <v>2987</v>
      </c>
      <c r="AH24" s="439"/>
      <c r="AI24" s="440"/>
    </row>
    <row r="25" spans="2:37" ht="18.75" customHeight="1">
      <c r="C25" s="84"/>
      <c r="D25" s="85"/>
      <c r="E25" s="315" t="s">
        <v>95</v>
      </c>
      <c r="F25" s="458"/>
      <c r="G25" s="458"/>
      <c r="H25" s="459"/>
      <c r="I25" s="460" t="s">
        <v>88</v>
      </c>
      <c r="J25" s="461"/>
      <c r="K25" s="462" t="s">
        <v>88</v>
      </c>
      <c r="L25" s="463"/>
      <c r="M25" s="464" t="s">
        <v>88</v>
      </c>
      <c r="N25" s="465"/>
      <c r="O25" s="464" t="s">
        <v>88</v>
      </c>
      <c r="P25" s="465"/>
      <c r="Q25" s="466" t="s">
        <v>88</v>
      </c>
      <c r="R25" s="467"/>
      <c r="S25" s="450">
        <f>+ROUNDUP($AG25*1/8,0)</f>
        <v>84</v>
      </c>
      <c r="T25" s="451"/>
      <c r="U25" s="452">
        <f>+ROUNDUP($AG25*2/8,0)</f>
        <v>168</v>
      </c>
      <c r="V25" s="452"/>
      <c r="W25" s="442">
        <f>+ROUNDUP($AG25*3/8,0)</f>
        <v>251</v>
      </c>
      <c r="X25" s="451"/>
      <c r="Y25" s="453">
        <f>+ROUNDUP($AG25*4/8,0)</f>
        <v>335</v>
      </c>
      <c r="Z25" s="451"/>
      <c r="AA25" s="452">
        <f>+ROUNDUP($AG25*5/8,0)</f>
        <v>419</v>
      </c>
      <c r="AB25" s="452"/>
      <c r="AC25" s="452">
        <f>+ROUNDUP($AG25*6/8,0)</f>
        <v>502</v>
      </c>
      <c r="AD25" s="452"/>
      <c r="AE25" s="442">
        <f>+ROUNDUP($AG25*7/8,0)</f>
        <v>586</v>
      </c>
      <c r="AF25" s="443"/>
      <c r="AG25" s="444">
        <v>669</v>
      </c>
      <c r="AH25" s="445"/>
      <c r="AI25" s="441"/>
    </row>
    <row r="26" spans="2:37" ht="18.75" customHeight="1" thickBot="1">
      <c r="C26" s="73"/>
      <c r="D26" s="86"/>
      <c r="E26" s="474" t="s">
        <v>96</v>
      </c>
      <c r="F26" s="475"/>
      <c r="G26" s="475"/>
      <c r="H26" s="476"/>
      <c r="I26" s="477" t="s">
        <v>88</v>
      </c>
      <c r="J26" s="478"/>
      <c r="K26" s="479" t="s">
        <v>88</v>
      </c>
      <c r="L26" s="480"/>
      <c r="M26" s="481" t="s">
        <v>88</v>
      </c>
      <c r="N26" s="482"/>
      <c r="O26" s="481" t="s">
        <v>88</v>
      </c>
      <c r="P26" s="482"/>
      <c r="Q26" s="483" t="s">
        <v>88</v>
      </c>
      <c r="R26" s="484"/>
      <c r="S26" s="457">
        <f>+ROUNDUP($AG26*1/8,0)</f>
        <v>290</v>
      </c>
      <c r="T26" s="455"/>
      <c r="U26" s="456">
        <f>+ROUNDUP($AG26*2/8,0)</f>
        <v>580</v>
      </c>
      <c r="V26" s="456"/>
      <c r="W26" s="446">
        <f>+ROUNDUP($AG26*3/8,0)</f>
        <v>870</v>
      </c>
      <c r="X26" s="455"/>
      <c r="Y26" s="454">
        <f>+ROUNDUP($AG26*4/8,0)</f>
        <v>1159</v>
      </c>
      <c r="Z26" s="455"/>
      <c r="AA26" s="456">
        <f>+ROUNDUP($AG26*5/8,0)</f>
        <v>1449</v>
      </c>
      <c r="AB26" s="456"/>
      <c r="AC26" s="456">
        <f>+ROUNDUP($AG26*6/8,0)</f>
        <v>1739</v>
      </c>
      <c r="AD26" s="456"/>
      <c r="AE26" s="446">
        <f>+ROUNDUP($AG26*7/8,0)</f>
        <v>2029</v>
      </c>
      <c r="AF26" s="447"/>
      <c r="AG26" s="448">
        <v>2318</v>
      </c>
      <c r="AH26" s="449"/>
      <c r="AI26" s="441"/>
    </row>
    <row r="27" spans="2:37" ht="18.75" customHeight="1" thickBot="1">
      <c r="C27" s="87"/>
      <c r="D27" s="485" t="s">
        <v>97</v>
      </c>
      <c r="E27" s="486"/>
      <c r="F27" s="486"/>
      <c r="G27" s="486"/>
      <c r="H27" s="487"/>
      <c r="I27" s="417" t="s">
        <v>88</v>
      </c>
      <c r="J27" s="418"/>
      <c r="K27" s="419" t="s">
        <v>88</v>
      </c>
      <c r="L27" s="420"/>
      <c r="M27" s="421" t="s">
        <v>88</v>
      </c>
      <c r="N27" s="422"/>
      <c r="O27" s="421" t="s">
        <v>88</v>
      </c>
      <c r="P27" s="422"/>
      <c r="Q27" s="423" t="s">
        <v>88</v>
      </c>
      <c r="R27" s="424"/>
      <c r="S27" s="470">
        <f>+ROUNDUP($AG27*1/8,0)</f>
        <v>64</v>
      </c>
      <c r="T27" s="471"/>
      <c r="U27" s="472">
        <f>+ROUNDUP($AG27*2/8,0)</f>
        <v>128</v>
      </c>
      <c r="V27" s="472"/>
      <c r="W27" s="468">
        <f>+ROUNDUP($AG27*3/8,0)</f>
        <v>191</v>
      </c>
      <c r="X27" s="471"/>
      <c r="Y27" s="473">
        <f>+ROUNDUP($AG27*4/8,0)</f>
        <v>255</v>
      </c>
      <c r="Z27" s="471"/>
      <c r="AA27" s="472">
        <f>+ROUNDUP($AG27*5/8,0)</f>
        <v>319</v>
      </c>
      <c r="AB27" s="472"/>
      <c r="AC27" s="472">
        <f>+ROUNDUP($AG27*6/8,0)</f>
        <v>382</v>
      </c>
      <c r="AD27" s="472"/>
      <c r="AE27" s="468">
        <f>+ROUNDUP($AG27*7/8,0)</f>
        <v>446</v>
      </c>
      <c r="AF27" s="469"/>
      <c r="AG27" s="235">
        <v>509</v>
      </c>
      <c r="AH27" s="285"/>
      <c r="AI27" s="135"/>
    </row>
    <row r="28" spans="2:37" ht="18.75" customHeight="1">
      <c r="C28" s="88"/>
      <c r="D28" s="89"/>
      <c r="E28" s="90"/>
      <c r="F28" s="91"/>
      <c r="G28" s="91"/>
      <c r="H28" s="91"/>
      <c r="I28" s="76"/>
      <c r="J28" s="76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1"/>
      <c r="AH28" s="82"/>
      <c r="AI28" s="92"/>
    </row>
    <row r="29" spans="2:37" ht="15.75" customHeight="1">
      <c r="AF29" s="92"/>
      <c r="AG29" s="92"/>
      <c r="AH29" s="92"/>
      <c r="AI29" s="92"/>
      <c r="AJ29" s="96"/>
      <c r="AK29" s="96"/>
    </row>
    <row r="30" spans="2:37" ht="15.75" customHeight="1">
      <c r="AF30" s="92"/>
      <c r="AG30" s="92"/>
      <c r="AH30" s="92"/>
      <c r="AI30" s="92"/>
      <c r="AJ30" s="96"/>
      <c r="AK30" s="96"/>
    </row>
    <row r="31" spans="2:37" ht="15.75" customHeight="1">
      <c r="AF31" s="92"/>
      <c r="AG31" s="92"/>
      <c r="AH31" s="92"/>
      <c r="AI31" s="92"/>
      <c r="AJ31" s="96"/>
      <c r="AK31" s="96"/>
    </row>
    <row r="32" spans="2:37" ht="15.75" customHeight="1">
      <c r="AF32" s="92"/>
      <c r="AG32" s="92"/>
      <c r="AH32" s="92"/>
      <c r="AI32" s="92"/>
      <c r="AJ32" s="96"/>
      <c r="AK32" s="96"/>
    </row>
    <row r="33" spans="32:37" ht="15.75" customHeight="1">
      <c r="AF33" s="92"/>
      <c r="AG33" s="92"/>
      <c r="AH33" s="92"/>
      <c r="AI33" s="92"/>
      <c r="AJ33" s="96"/>
      <c r="AK33" s="96"/>
    </row>
    <row r="34" spans="32:37" ht="15.75" customHeight="1">
      <c r="AF34" s="92"/>
      <c r="AG34" s="92"/>
      <c r="AH34" s="92"/>
      <c r="AI34" s="92"/>
    </row>
    <row r="35" spans="32:37" ht="15.75" customHeight="1">
      <c r="AF35" s="92"/>
      <c r="AG35" s="92"/>
      <c r="AH35" s="92"/>
      <c r="AI35" s="92"/>
    </row>
    <row r="36" spans="32:37" ht="15.75" customHeight="1"/>
    <row r="37" spans="32:37" ht="15.75" customHeight="1"/>
    <row r="38" spans="32:37" ht="15.75" customHeight="1"/>
    <row r="39" spans="32:37" ht="15.75" customHeight="1"/>
    <row r="40" spans="32:37" ht="15.75" customHeight="1"/>
    <row r="41" spans="32:37" ht="15.75" customHeight="1"/>
    <row r="42" spans="32:37" ht="15.75" customHeight="1"/>
    <row r="43" spans="32:37" ht="15.75" customHeight="1"/>
    <row r="44" spans="32:37" ht="15.75" customHeight="1"/>
    <row r="45" spans="32:37" ht="15.75" customHeight="1"/>
    <row r="46" spans="32:37" ht="15.75" customHeight="1"/>
    <row r="47" spans="32:37" ht="15.75" customHeight="1"/>
    <row r="48" spans="32:3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</sheetData>
  <mergeCells count="267">
    <mergeCell ref="E25:H25"/>
    <mergeCell ref="I25:J25"/>
    <mergeCell ref="K25:L25"/>
    <mergeCell ref="M25:N25"/>
    <mergeCell ref="O25:P25"/>
    <mergeCell ref="Q25:R25"/>
    <mergeCell ref="AE27:AF27"/>
    <mergeCell ref="AG27:AH27"/>
    <mergeCell ref="S27:T27"/>
    <mergeCell ref="U27:V27"/>
    <mergeCell ref="W27:X27"/>
    <mergeCell ref="Y27:Z27"/>
    <mergeCell ref="AA27:AB27"/>
    <mergeCell ref="AC27:AD27"/>
    <mergeCell ref="E26:H26"/>
    <mergeCell ref="I26:J26"/>
    <mergeCell ref="K26:L26"/>
    <mergeCell ref="M26:N26"/>
    <mergeCell ref="O26:P26"/>
    <mergeCell ref="Q26:R26"/>
    <mergeCell ref="D27:H27"/>
    <mergeCell ref="I27:J27"/>
    <mergeCell ref="K27:L27"/>
    <mergeCell ref="M27:N27"/>
    <mergeCell ref="O27:P27"/>
    <mergeCell ref="Q27:R27"/>
    <mergeCell ref="AG24:AH24"/>
    <mergeCell ref="AI24:AI26"/>
    <mergeCell ref="AE25:AF25"/>
    <mergeCell ref="AG25:AH25"/>
    <mergeCell ref="AE26:AF26"/>
    <mergeCell ref="AG26:AH26"/>
    <mergeCell ref="S25:T25"/>
    <mergeCell ref="U25:V25"/>
    <mergeCell ref="W25:X25"/>
    <mergeCell ref="Y25:Z25"/>
    <mergeCell ref="AA25:AB25"/>
    <mergeCell ref="AC25:AD25"/>
    <mergeCell ref="Y26:Z26"/>
    <mergeCell ref="AA26:AB26"/>
    <mergeCell ref="AC26:AD26"/>
    <mergeCell ref="S26:T26"/>
    <mergeCell ref="U26:V26"/>
    <mergeCell ref="W26:X26"/>
    <mergeCell ref="W23:X23"/>
    <mergeCell ref="Y23:Z23"/>
    <mergeCell ref="AA23:AB23"/>
    <mergeCell ref="AC23:AD23"/>
    <mergeCell ref="AE23:AF23"/>
    <mergeCell ref="Y24:Z24"/>
    <mergeCell ref="AA24:AB24"/>
    <mergeCell ref="AC24:AD24"/>
    <mergeCell ref="AE24:AF24"/>
    <mergeCell ref="D24:H24"/>
    <mergeCell ref="I24:J24"/>
    <mergeCell ref="K24:L24"/>
    <mergeCell ref="M24:N24"/>
    <mergeCell ref="O24:P24"/>
    <mergeCell ref="Q24:R24"/>
    <mergeCell ref="S24:T24"/>
    <mergeCell ref="U24:V24"/>
    <mergeCell ref="W24:X24"/>
    <mergeCell ref="AE20:AF20"/>
    <mergeCell ref="AG20:AH20"/>
    <mergeCell ref="C22:H22"/>
    <mergeCell ref="C23:H23"/>
    <mergeCell ref="I23:J23"/>
    <mergeCell ref="K23:L23"/>
    <mergeCell ref="M23:N23"/>
    <mergeCell ref="O23:P23"/>
    <mergeCell ref="Q23:R23"/>
    <mergeCell ref="S23:T23"/>
    <mergeCell ref="S20:T20"/>
    <mergeCell ref="U20:V20"/>
    <mergeCell ref="W20:X20"/>
    <mergeCell ref="Y20:Z20"/>
    <mergeCell ref="AA20:AB20"/>
    <mergeCell ref="AC20:AD20"/>
    <mergeCell ref="C20:H20"/>
    <mergeCell ref="I20:J20"/>
    <mergeCell ref="K20:L20"/>
    <mergeCell ref="M20:N20"/>
    <mergeCell ref="O20:P20"/>
    <mergeCell ref="Q20:R20"/>
    <mergeCell ref="AG23:AH23"/>
    <mergeCell ref="U23:V23"/>
    <mergeCell ref="W19:X19"/>
    <mergeCell ref="Y19:Z19"/>
    <mergeCell ref="AA19:AB19"/>
    <mergeCell ref="AC19:AD19"/>
    <mergeCell ref="AE19:AF19"/>
    <mergeCell ref="AG19:AH19"/>
    <mergeCell ref="AE18:AF18"/>
    <mergeCell ref="AG18:AH18"/>
    <mergeCell ref="C19:H19"/>
    <mergeCell ref="I19:J19"/>
    <mergeCell ref="K19:L19"/>
    <mergeCell ref="M19:N19"/>
    <mergeCell ref="O19:P19"/>
    <mergeCell ref="Q19:R19"/>
    <mergeCell ref="S19:T19"/>
    <mergeCell ref="U19:V19"/>
    <mergeCell ref="S18:T18"/>
    <mergeCell ref="U18:V18"/>
    <mergeCell ref="W18:X18"/>
    <mergeCell ref="Y18:Z18"/>
    <mergeCell ref="AA18:AB18"/>
    <mergeCell ref="AC18:AD18"/>
    <mergeCell ref="D16:F18"/>
    <mergeCell ref="M16:N16"/>
    <mergeCell ref="AG16:AH16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U16:V16"/>
    <mergeCell ref="W16:X16"/>
    <mergeCell ref="Y16:Z16"/>
    <mergeCell ref="AA16:AB16"/>
    <mergeCell ref="AC16:AD16"/>
    <mergeCell ref="AE16:AF16"/>
    <mergeCell ref="Y17:Z17"/>
    <mergeCell ref="AA17:AB17"/>
    <mergeCell ref="AC17:AD17"/>
    <mergeCell ref="AE17:AF17"/>
    <mergeCell ref="AG17:AH17"/>
    <mergeCell ref="G16:H16"/>
    <mergeCell ref="I16:J16"/>
    <mergeCell ref="K16:L16"/>
    <mergeCell ref="U15:V15"/>
    <mergeCell ref="W15:X15"/>
    <mergeCell ref="Y15:Z15"/>
    <mergeCell ref="AA15:AB15"/>
    <mergeCell ref="AC15:AD15"/>
    <mergeCell ref="G15:H15"/>
    <mergeCell ref="I15:J15"/>
    <mergeCell ref="K15:L15"/>
    <mergeCell ref="M15:N15"/>
    <mergeCell ref="O15:P15"/>
    <mergeCell ref="Q15:R15"/>
    <mergeCell ref="O16:P16"/>
    <mergeCell ref="Q16:R16"/>
    <mergeCell ref="S16:T16"/>
    <mergeCell ref="S15:T15"/>
    <mergeCell ref="G18:H18"/>
    <mergeCell ref="K18:L18"/>
    <mergeCell ref="M18:N18"/>
    <mergeCell ref="O18:P18"/>
    <mergeCell ref="Q18:R18"/>
    <mergeCell ref="W14:X14"/>
    <mergeCell ref="Y14:Z14"/>
    <mergeCell ref="AA14:AB14"/>
    <mergeCell ref="AC14:AD14"/>
    <mergeCell ref="AE14:AF14"/>
    <mergeCell ref="AG14:AH14"/>
    <mergeCell ref="AG13:AH13"/>
    <mergeCell ref="D14:F15"/>
    <mergeCell ref="G14:H14"/>
    <mergeCell ref="I14:J14"/>
    <mergeCell ref="K14:L14"/>
    <mergeCell ref="M14:N14"/>
    <mergeCell ref="O14:P14"/>
    <mergeCell ref="Q14:R14"/>
    <mergeCell ref="S14:T14"/>
    <mergeCell ref="U14:V14"/>
    <mergeCell ref="U13:V13"/>
    <mergeCell ref="W13:X13"/>
    <mergeCell ref="Y13:Z13"/>
    <mergeCell ref="AA13:AB13"/>
    <mergeCell ref="AC13:AD13"/>
    <mergeCell ref="AE13:AF13"/>
    <mergeCell ref="AE15:AF15"/>
    <mergeCell ref="AG15:AH15"/>
    <mergeCell ref="D12:H12"/>
    <mergeCell ref="I12:J12"/>
    <mergeCell ref="K12:L12"/>
    <mergeCell ref="M12:N12"/>
    <mergeCell ref="O12:P12"/>
    <mergeCell ref="AC12:AD12"/>
    <mergeCell ref="AE12:AF12"/>
    <mergeCell ref="AG12:AH12"/>
    <mergeCell ref="C13:H13"/>
    <mergeCell ref="I13:J13"/>
    <mergeCell ref="K13:L13"/>
    <mergeCell ref="M13:N13"/>
    <mergeCell ref="O13:P13"/>
    <mergeCell ref="Q13:R13"/>
    <mergeCell ref="S13:T13"/>
    <mergeCell ref="Q12:R12"/>
    <mergeCell ref="S12:T12"/>
    <mergeCell ref="U12:V12"/>
    <mergeCell ref="W12:X12"/>
    <mergeCell ref="Y12:Z12"/>
    <mergeCell ref="AA12:AB12"/>
    <mergeCell ref="Y10:Z10"/>
    <mergeCell ref="AA10:AB10"/>
    <mergeCell ref="AC10:AD10"/>
    <mergeCell ref="AE10:AF10"/>
    <mergeCell ref="Y11:Z11"/>
    <mergeCell ref="AA11:AB11"/>
    <mergeCell ref="AC11:AD11"/>
    <mergeCell ref="AE11:AF11"/>
    <mergeCell ref="AG11:AH11"/>
    <mergeCell ref="D11:H11"/>
    <mergeCell ref="I11:J11"/>
    <mergeCell ref="K11:L11"/>
    <mergeCell ref="M11:N11"/>
    <mergeCell ref="O11:P11"/>
    <mergeCell ref="Q11:R11"/>
    <mergeCell ref="S11:T11"/>
    <mergeCell ref="U11:V11"/>
    <mergeCell ref="W11:X11"/>
    <mergeCell ref="AA2:AI2"/>
    <mergeCell ref="C4:AH4"/>
    <mergeCell ref="I6:AH6"/>
    <mergeCell ref="C7:H7"/>
    <mergeCell ref="I7:R7"/>
    <mergeCell ref="S7:AD7"/>
    <mergeCell ref="AE7:AH7"/>
    <mergeCell ref="C8:H8"/>
    <mergeCell ref="I8:L8"/>
    <mergeCell ref="M8:R8"/>
    <mergeCell ref="S8:X8"/>
    <mergeCell ref="Y8:AD8"/>
    <mergeCell ref="AE8:AH8"/>
    <mergeCell ref="J3:AI3"/>
    <mergeCell ref="C9:H9"/>
    <mergeCell ref="I9:J9"/>
    <mergeCell ref="K9:L9"/>
    <mergeCell ref="M9:N9"/>
    <mergeCell ref="O9:P9"/>
    <mergeCell ref="AC9:AD9"/>
    <mergeCell ref="AE9:AF9"/>
    <mergeCell ref="AG9:AH9"/>
    <mergeCell ref="C10:H10"/>
    <mergeCell ref="I10:J10"/>
    <mergeCell ref="K10:L10"/>
    <mergeCell ref="M10:N10"/>
    <mergeCell ref="O10:P10"/>
    <mergeCell ref="Q10:R10"/>
    <mergeCell ref="S10:T10"/>
    <mergeCell ref="Q9:R9"/>
    <mergeCell ref="S9:T9"/>
    <mergeCell ref="U9:V9"/>
    <mergeCell ref="W9:X9"/>
    <mergeCell ref="Y9:Z9"/>
    <mergeCell ref="AA9:AB9"/>
    <mergeCell ref="AG10:AH10"/>
    <mergeCell ref="U10:V10"/>
    <mergeCell ref="W10:X10"/>
    <mergeCell ref="AI18:AJ18"/>
    <mergeCell ref="AI19:AJ19"/>
    <mergeCell ref="AI20:AJ20"/>
    <mergeCell ref="AI7:AJ9"/>
    <mergeCell ref="AI10:AJ10"/>
    <mergeCell ref="AI11:AJ11"/>
    <mergeCell ref="AI12:AJ12"/>
    <mergeCell ref="AI13:AJ13"/>
    <mergeCell ref="AI14:AJ14"/>
    <mergeCell ref="AI15:AJ15"/>
    <mergeCell ref="AI16:AJ16"/>
    <mergeCell ref="AI17:AJ17"/>
  </mergeCells>
  <phoneticPr fontId="6"/>
  <hyperlinks>
    <hyperlink ref="AG24" r:id="rId1" display="+@sum(h59..H61)"/>
  </hyperlinks>
  <printOptions horizontalCentered="1" verticalCentered="1"/>
  <pageMargins left="0.19685039370078741" right="0.19685039370078741" top="0.59055118110236227" bottom="0.39370078740157483" header="0.31496062992125984" footer="0.31496062992125984"/>
  <pageSetup paperSize="9" scale="8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4"/>
  <sheetViews>
    <sheetView topLeftCell="E1" zoomScaleNormal="100" workbookViewId="0">
      <selection activeCell="R10" sqref="R10"/>
    </sheetView>
  </sheetViews>
  <sheetFormatPr defaultRowHeight="12"/>
  <cols>
    <col min="1" max="1" width="1" style="2" customWidth="1"/>
    <col min="2" max="3" width="5.125" style="1" customWidth="1"/>
    <col min="4" max="4" width="39.125" style="2" customWidth="1"/>
    <col min="5" max="5" width="6.25" style="3" customWidth="1"/>
    <col min="6" max="18" width="7.5" style="2" customWidth="1"/>
    <col min="19" max="19" width="17.375" style="2" customWidth="1"/>
    <col min="20" max="16384" width="9" style="2"/>
  </cols>
  <sheetData>
    <row r="1" spans="2:19" ht="17.25" customHeight="1">
      <c r="C1" s="488" t="s">
        <v>102</v>
      </c>
      <c r="D1" s="488"/>
      <c r="E1" s="488"/>
      <c r="F1" s="488"/>
      <c r="S1" s="4"/>
    </row>
    <row r="2" spans="2:19" ht="17.25" customHeight="1">
      <c r="C2" s="488"/>
      <c r="D2" s="488"/>
      <c r="E2" s="488"/>
      <c r="F2" s="488"/>
      <c r="S2" s="5"/>
    </row>
    <row r="3" spans="2:19" ht="17.25" customHeight="1" thickBot="1"/>
    <row r="4" spans="2:19" ht="45" customHeight="1" thickBot="1">
      <c r="C4" s="491"/>
      <c r="D4" s="492"/>
      <c r="E4" s="6"/>
      <c r="F4" s="7" t="s">
        <v>0</v>
      </c>
      <c r="G4" s="8" t="s">
        <v>1</v>
      </c>
      <c r="H4" s="8" t="s">
        <v>2</v>
      </c>
      <c r="I4" s="8" t="s">
        <v>3</v>
      </c>
      <c r="J4" s="8" t="s">
        <v>4</v>
      </c>
      <c r="K4" s="8" t="s">
        <v>5</v>
      </c>
      <c r="L4" s="8" t="s">
        <v>6</v>
      </c>
      <c r="M4" s="132" t="s">
        <v>7</v>
      </c>
      <c r="N4" s="8" t="s">
        <v>8</v>
      </c>
      <c r="O4" s="8" t="s">
        <v>9</v>
      </c>
      <c r="P4" s="132" t="s">
        <v>10</v>
      </c>
      <c r="Q4" s="8" t="s">
        <v>11</v>
      </c>
      <c r="R4" s="133" t="s">
        <v>12</v>
      </c>
      <c r="S4" s="118" t="s">
        <v>99</v>
      </c>
    </row>
    <row r="5" spans="2:19" s="13" customFormat="1" ht="39.75" hidden="1" customHeight="1">
      <c r="B5" s="9"/>
      <c r="C5" s="9"/>
      <c r="D5" s="10" t="s">
        <v>13</v>
      </c>
      <c r="E5" s="11"/>
      <c r="F5" s="12">
        <v>2925</v>
      </c>
      <c r="G5" s="12">
        <v>3395</v>
      </c>
      <c r="H5" s="12"/>
      <c r="I5" s="12"/>
      <c r="J5" s="12"/>
      <c r="K5" s="12"/>
      <c r="L5" s="12"/>
      <c r="M5" s="100"/>
      <c r="N5" s="12"/>
      <c r="O5" s="12"/>
      <c r="P5" s="100"/>
      <c r="Q5" s="12"/>
      <c r="R5" s="103">
        <v>3657</v>
      </c>
      <c r="S5" s="119"/>
    </row>
    <row r="6" spans="2:19" s="13" customFormat="1" ht="39.75" hidden="1" customHeight="1" thickBot="1">
      <c r="B6" s="9"/>
      <c r="C6" s="9"/>
      <c r="D6" s="14" t="s">
        <v>14</v>
      </c>
      <c r="E6" s="15"/>
      <c r="F6" s="16">
        <v>196</v>
      </c>
      <c r="G6" s="16">
        <v>233</v>
      </c>
      <c r="H6" s="16"/>
      <c r="I6" s="16"/>
      <c r="J6" s="16"/>
      <c r="K6" s="16"/>
      <c r="L6" s="16"/>
      <c r="M6" s="101"/>
      <c r="N6" s="16"/>
      <c r="O6" s="16"/>
      <c r="P6" s="101"/>
      <c r="Q6" s="16"/>
      <c r="R6" s="104">
        <v>244</v>
      </c>
      <c r="S6" s="120"/>
    </row>
    <row r="7" spans="2:19" ht="39.75" hidden="1" customHeight="1" thickBot="1">
      <c r="B7" s="17" t="s">
        <v>15</v>
      </c>
      <c r="C7" s="18"/>
      <c r="D7" s="19" t="s">
        <v>16</v>
      </c>
      <c r="E7" s="20" t="s">
        <v>17</v>
      </c>
      <c r="F7" s="21">
        <v>92009</v>
      </c>
      <c r="G7" s="22">
        <f>+$F7+($R7-$F7)/12</f>
        <v>97715.833333333328</v>
      </c>
      <c r="H7" s="22">
        <f>+$F7+($R7-$F7)*2/12</f>
        <v>103422.66666666667</v>
      </c>
      <c r="I7" s="22">
        <f>+$F7+($R7-$F7)*3/12</f>
        <v>109129.5</v>
      </c>
      <c r="J7" s="22">
        <f>+$F7+($R7-$F7)*4/12</f>
        <v>114836.33333333333</v>
      </c>
      <c r="K7" s="22">
        <f>+$F7+($R7-$F7)*5/12</f>
        <v>120543.16666666667</v>
      </c>
      <c r="L7" s="22">
        <f>+$F7+($R7-$F7)*6/12</f>
        <v>126250</v>
      </c>
      <c r="M7" s="102">
        <f>+$F7+($R7-$F7)*7/12</f>
        <v>131956.83333333334</v>
      </c>
      <c r="N7" s="22">
        <f>+$F7+($R7-$F7)*8/12</f>
        <v>137663.66666666666</v>
      </c>
      <c r="O7" s="22">
        <f>+$F7+($R7-$F7)*9/12</f>
        <v>143370.5</v>
      </c>
      <c r="P7" s="102">
        <f>+$F7+($R7-$F7)*10/12</f>
        <v>149077.33333333334</v>
      </c>
      <c r="Q7" s="22">
        <f>+$F7+($R7-$F7)*11/12</f>
        <v>154784.16666666666</v>
      </c>
      <c r="R7" s="23">
        <v>160491</v>
      </c>
      <c r="S7" s="121"/>
    </row>
    <row r="8" spans="2:19" ht="51.75" customHeight="1" thickBot="1">
      <c r="B8" s="493" t="s">
        <v>15</v>
      </c>
      <c r="C8" s="496" t="s">
        <v>18</v>
      </c>
      <c r="D8" s="497"/>
      <c r="E8" s="24"/>
      <c r="F8" s="138">
        <f>F9+F10</f>
        <v>7227</v>
      </c>
      <c r="G8" s="138">
        <f t="shared" ref="G8:Q8" si="0">G9+G10</f>
        <v>7605</v>
      </c>
      <c r="H8" s="138">
        <f t="shared" si="0"/>
        <v>7982</v>
      </c>
      <c r="I8" s="138">
        <f t="shared" si="0"/>
        <v>8359</v>
      </c>
      <c r="J8" s="138">
        <f t="shared" si="0"/>
        <v>8737</v>
      </c>
      <c r="K8" s="138">
        <f t="shared" si="0"/>
        <v>9488</v>
      </c>
      <c r="L8" s="138">
        <f t="shared" si="0"/>
        <v>10238</v>
      </c>
      <c r="M8" s="139">
        <f t="shared" si="0"/>
        <v>10990</v>
      </c>
      <c r="N8" s="138">
        <f t="shared" si="0"/>
        <v>11561</v>
      </c>
      <c r="O8" s="138">
        <f t="shared" si="0"/>
        <v>12132</v>
      </c>
      <c r="P8" s="139">
        <f t="shared" si="0"/>
        <v>12705</v>
      </c>
      <c r="Q8" s="138">
        <f t="shared" si="0"/>
        <v>13276</v>
      </c>
      <c r="R8" s="140">
        <f>R9+R10</f>
        <v>13847</v>
      </c>
      <c r="S8" s="122"/>
    </row>
    <row r="9" spans="2:19" ht="51.75" customHeight="1" thickTop="1" thickBot="1">
      <c r="B9" s="494"/>
      <c r="C9" s="25"/>
      <c r="D9" s="26" t="s">
        <v>19</v>
      </c>
      <c r="E9" s="126" t="s">
        <v>17</v>
      </c>
      <c r="F9" s="141">
        <f>シート①!I11</f>
        <v>7227</v>
      </c>
      <c r="G9" s="142">
        <f>+ROUNDUP($F9+($R9-$F9)/12,0)</f>
        <v>7605</v>
      </c>
      <c r="H9" s="143">
        <f>+ROUNDUP($F9+($R9-$F9)*2/12,0)</f>
        <v>7982</v>
      </c>
      <c r="I9" s="143">
        <f>+ROUNDUP($F9+($R9-$F9)*3/12,0)</f>
        <v>8359</v>
      </c>
      <c r="J9" s="143">
        <f>+ROUNDUP($F9+($R9-$F9)*4/12,0)</f>
        <v>8737</v>
      </c>
      <c r="K9" s="143">
        <f>シート①!S11</f>
        <v>9114</v>
      </c>
      <c r="L9" s="144">
        <f>シート①!U11</f>
        <v>9491</v>
      </c>
      <c r="M9" s="145">
        <f>シート①!W11</f>
        <v>9869</v>
      </c>
      <c r="N9" s="142">
        <f>シート①!Y11</f>
        <v>10246</v>
      </c>
      <c r="O9" s="144">
        <f>シート①!AA11</f>
        <v>10623</v>
      </c>
      <c r="P9" s="145">
        <f>シート①!AC11</f>
        <v>11001</v>
      </c>
      <c r="Q9" s="146">
        <f>シート①!AE11</f>
        <v>11378</v>
      </c>
      <c r="R9" s="147">
        <f>シート①!AG11</f>
        <v>11755</v>
      </c>
      <c r="S9" s="127" t="s">
        <v>100</v>
      </c>
    </row>
    <row r="10" spans="2:19" ht="51.75" customHeight="1" thickTop="1" thickBot="1">
      <c r="B10" s="494"/>
      <c r="C10" s="27"/>
      <c r="D10" s="28" t="s">
        <v>20</v>
      </c>
      <c r="E10" s="29" t="s">
        <v>21</v>
      </c>
      <c r="F10" s="148"/>
      <c r="G10" s="149"/>
      <c r="H10" s="149"/>
      <c r="I10" s="149"/>
      <c r="J10" s="149"/>
      <c r="K10" s="149">
        <f>シート①!S14+シート①!S15</f>
        <v>374</v>
      </c>
      <c r="L10" s="150">
        <f>シート①!U14+シート①!U15</f>
        <v>747</v>
      </c>
      <c r="M10" s="145">
        <f>シート①!W14+シート①!W15</f>
        <v>1121</v>
      </c>
      <c r="N10" s="151">
        <f>シート①!Y14+シート①!Y15</f>
        <v>1315</v>
      </c>
      <c r="O10" s="150">
        <f>シート①!AA14+シート①!AA15</f>
        <v>1509</v>
      </c>
      <c r="P10" s="145">
        <f>シート①!AC14+シート①!AC15</f>
        <v>1704</v>
      </c>
      <c r="Q10" s="152">
        <f>シート①!AE14+シート①!AE15</f>
        <v>1898</v>
      </c>
      <c r="R10" s="147">
        <f>シート①!AG14+シート①!AG15</f>
        <v>2092</v>
      </c>
      <c r="S10" s="128" t="s">
        <v>100</v>
      </c>
    </row>
    <row r="11" spans="2:19" ht="51.75" customHeight="1" thickTop="1">
      <c r="B11" s="494"/>
      <c r="C11" s="498" t="s">
        <v>104</v>
      </c>
      <c r="D11" s="499"/>
      <c r="E11" s="24" t="s">
        <v>17</v>
      </c>
      <c r="F11" s="138">
        <f>F8*1.78</f>
        <v>12864.06</v>
      </c>
      <c r="G11" s="138">
        <f t="shared" ref="G11:R11" si="1">G8*1.78</f>
        <v>13536.9</v>
      </c>
      <c r="H11" s="138">
        <f t="shared" si="1"/>
        <v>14207.960000000001</v>
      </c>
      <c r="I11" s="138">
        <f t="shared" si="1"/>
        <v>14879.02</v>
      </c>
      <c r="J11" s="138">
        <f t="shared" si="1"/>
        <v>15551.86</v>
      </c>
      <c r="K11" s="138">
        <f t="shared" si="1"/>
        <v>16888.64</v>
      </c>
      <c r="L11" s="138">
        <f t="shared" si="1"/>
        <v>18223.64</v>
      </c>
      <c r="M11" s="153">
        <f t="shared" si="1"/>
        <v>19562.2</v>
      </c>
      <c r="N11" s="138">
        <f t="shared" si="1"/>
        <v>20578.580000000002</v>
      </c>
      <c r="O11" s="138">
        <f t="shared" si="1"/>
        <v>21594.959999999999</v>
      </c>
      <c r="P11" s="153">
        <f t="shared" si="1"/>
        <v>22614.9</v>
      </c>
      <c r="Q11" s="138">
        <f t="shared" si="1"/>
        <v>23631.279999999999</v>
      </c>
      <c r="R11" s="154">
        <f t="shared" si="1"/>
        <v>24647.66</v>
      </c>
      <c r="S11" s="121"/>
    </row>
    <row r="12" spans="2:19" ht="51.75" customHeight="1" thickBot="1">
      <c r="B12" s="495"/>
      <c r="C12" s="500" t="s">
        <v>105</v>
      </c>
      <c r="D12" s="501"/>
      <c r="E12" s="20" t="s">
        <v>17</v>
      </c>
      <c r="F12" s="155">
        <f>+F11/49.9601113172</f>
        <v>257.4866160390485</v>
      </c>
      <c r="G12" s="138">
        <f t="shared" ref="G12:Q12" si="2">+G11/49.9601113172</f>
        <v>270.95416009090411</v>
      </c>
      <c r="H12" s="155">
        <f t="shared" si="2"/>
        <v>284.3860757193421</v>
      </c>
      <c r="I12" s="155">
        <f t="shared" si="2"/>
        <v>297.81799134778009</v>
      </c>
      <c r="J12" s="155">
        <f t="shared" si="2"/>
        <v>311.28553539963571</v>
      </c>
      <c r="K12" s="155">
        <f t="shared" si="2"/>
        <v>338.04248138625877</v>
      </c>
      <c r="L12" s="155">
        <f t="shared" si="2"/>
        <v>364.76379894946433</v>
      </c>
      <c r="M12" s="139">
        <f t="shared" si="2"/>
        <v>391.55637335950513</v>
      </c>
      <c r="N12" s="155">
        <f t="shared" si="2"/>
        <v>411.90020313095891</v>
      </c>
      <c r="O12" s="155">
        <f t="shared" si="2"/>
        <v>432.2440329024127</v>
      </c>
      <c r="P12" s="139">
        <f t="shared" si="2"/>
        <v>452.65911952070178</v>
      </c>
      <c r="Q12" s="155">
        <f t="shared" si="2"/>
        <v>473.00294929215556</v>
      </c>
      <c r="R12" s="140">
        <f>+R11/49.9601113172</f>
        <v>493.34677906360935</v>
      </c>
      <c r="S12" s="123"/>
    </row>
    <row r="13" spans="2:19" ht="51.75" customHeight="1" thickTop="1" thickBot="1">
      <c r="B13" s="502" t="s">
        <v>22</v>
      </c>
      <c r="C13" s="505" t="s">
        <v>23</v>
      </c>
      <c r="D13" s="506"/>
      <c r="E13" s="30" t="s">
        <v>17</v>
      </c>
      <c r="F13" s="156" t="s">
        <v>24</v>
      </c>
      <c r="G13" s="157">
        <v>189</v>
      </c>
      <c r="H13" s="158">
        <f>+$G13+($R13-$G13)*1/11</f>
        <v>216.66788900578268</v>
      </c>
      <c r="I13" s="159">
        <f>+$G13+($R13-$G13)*2/11</f>
        <v>244.33577801156534</v>
      </c>
      <c r="J13" s="159">
        <f>+$G13+($R13-$G13)*3/11</f>
        <v>272.00366701734799</v>
      </c>
      <c r="K13" s="159">
        <f>+$G13+($R13-$G13)*4/11</f>
        <v>299.67155602313068</v>
      </c>
      <c r="L13" s="160">
        <f>+$G13+($R13-$G13)*5/11</f>
        <v>327.33944502891336</v>
      </c>
      <c r="M13" s="145">
        <f>+$G13+($R13-$G13)*6/11</f>
        <v>355.00733403469599</v>
      </c>
      <c r="N13" s="158">
        <f>+$G13+($R13-$G13)*7/11</f>
        <v>382.67522304047861</v>
      </c>
      <c r="O13" s="160">
        <f>+$G13+($R13-$G13)*8/11</f>
        <v>410.34311204626135</v>
      </c>
      <c r="P13" s="145">
        <f>+$G13+($R13-$G13)*9/11</f>
        <v>438.01100105204404</v>
      </c>
      <c r="Q13" s="161">
        <f>+$G13+($R13-$G13)*10/11</f>
        <v>465.67889005782666</v>
      </c>
      <c r="R13" s="145">
        <f>R12</f>
        <v>493.34677906360935</v>
      </c>
      <c r="S13" s="131" t="s">
        <v>101</v>
      </c>
    </row>
    <row r="14" spans="2:19" ht="4.5" hidden="1" customHeight="1">
      <c r="B14" s="503"/>
      <c r="C14" s="498"/>
      <c r="D14" s="499"/>
      <c r="E14" s="24" t="s">
        <v>25</v>
      </c>
      <c r="F14" s="155"/>
      <c r="G14" s="162">
        <v>2156</v>
      </c>
      <c r="H14" s="163" t="s">
        <v>26</v>
      </c>
      <c r="I14" s="163" t="s">
        <v>26</v>
      </c>
      <c r="J14" s="163" t="s">
        <v>26</v>
      </c>
      <c r="K14" s="155">
        <f>+$G14+ROUND(($R14-$G14)*1/8,0)</f>
        <v>2366</v>
      </c>
      <c r="L14" s="155">
        <f>+$G14+ROUND(($R14-$G14)*2/8,0)</f>
        <v>2575</v>
      </c>
      <c r="M14" s="164">
        <f>+$G14+ROUND(($R14-$G14)*3/8,0)</f>
        <v>2785</v>
      </c>
      <c r="N14" s="155">
        <f>+$G14+ROUND(($R14-$G14)*4/8,0)</f>
        <v>2995</v>
      </c>
      <c r="O14" s="155">
        <f>+$G14+ROUND(($R14-$G14)*5/8,0)</f>
        <v>3204</v>
      </c>
      <c r="P14" s="164">
        <f>+$G14+ROUND(($R14-$G14)*6/8,0)</f>
        <v>3414</v>
      </c>
      <c r="Q14" s="155">
        <f>+$G14+ROUND(($R14-$G14)*7/8,0)</f>
        <v>3623</v>
      </c>
      <c r="R14" s="165">
        <v>3833</v>
      </c>
      <c r="S14" s="124"/>
    </row>
    <row r="15" spans="2:19" ht="51" customHeight="1" thickTop="1" thickBot="1">
      <c r="B15" s="504"/>
      <c r="C15" s="507" t="s">
        <v>27</v>
      </c>
      <c r="D15" s="508"/>
      <c r="E15" s="31" t="s">
        <v>17</v>
      </c>
      <c r="F15" s="155"/>
      <c r="G15" s="155">
        <v>12114</v>
      </c>
      <c r="H15" s="155">
        <f>+H13*49.9601113172</f>
        <v>10824.751853591637</v>
      </c>
      <c r="I15" s="155">
        <f t="shared" ref="I15:Q15" si="3">+I13*49.9601113172</f>
        <v>12207.042668232472</v>
      </c>
      <c r="J15" s="155">
        <f t="shared" si="3"/>
        <v>13589.333482873308</v>
      </c>
      <c r="K15" s="155">
        <f t="shared" si="3"/>
        <v>14971.624297514145</v>
      </c>
      <c r="L15" s="155">
        <f t="shared" si="3"/>
        <v>16353.915112154982</v>
      </c>
      <c r="M15" s="166">
        <f t="shared" si="3"/>
        <v>17736.205926795818</v>
      </c>
      <c r="N15" s="155">
        <f t="shared" si="3"/>
        <v>19118.496741436651</v>
      </c>
      <c r="O15" s="155">
        <f t="shared" si="3"/>
        <v>20500.787556077492</v>
      </c>
      <c r="P15" s="166">
        <f t="shared" si="3"/>
        <v>21883.078370718329</v>
      </c>
      <c r="Q15" s="155">
        <f t="shared" si="3"/>
        <v>23265.369185359163</v>
      </c>
      <c r="R15" s="167">
        <f>R11</f>
        <v>24647.66</v>
      </c>
      <c r="S15" s="121"/>
    </row>
    <row r="16" spans="2:19" ht="36.75" hidden="1" customHeight="1" thickBot="1">
      <c r="B16" s="32"/>
      <c r="C16" s="507"/>
      <c r="D16" s="508"/>
      <c r="E16" s="20" t="s">
        <v>25</v>
      </c>
      <c r="F16" s="155"/>
      <c r="G16" s="155">
        <f>+G14*50</f>
        <v>107800</v>
      </c>
      <c r="H16" s="168" t="s">
        <v>28</v>
      </c>
      <c r="I16" s="168" t="s">
        <v>28</v>
      </c>
      <c r="J16" s="168" t="s">
        <v>28</v>
      </c>
      <c r="K16" s="155">
        <f t="shared" ref="K16:Q16" si="4">+K14*50</f>
        <v>118300</v>
      </c>
      <c r="L16" s="155">
        <f t="shared" si="4"/>
        <v>128750</v>
      </c>
      <c r="M16" s="166">
        <f t="shared" si="4"/>
        <v>139250</v>
      </c>
      <c r="N16" s="155">
        <f t="shared" si="4"/>
        <v>149750</v>
      </c>
      <c r="O16" s="155">
        <f t="shared" si="4"/>
        <v>160200</v>
      </c>
      <c r="P16" s="166">
        <f t="shared" si="4"/>
        <v>170700</v>
      </c>
      <c r="Q16" s="155">
        <f t="shared" si="4"/>
        <v>181150</v>
      </c>
      <c r="R16" s="169">
        <v>191628</v>
      </c>
      <c r="S16" s="123"/>
    </row>
    <row r="17" spans="3:19" ht="40.5" customHeight="1" thickBot="1">
      <c r="C17" s="489" t="s">
        <v>29</v>
      </c>
      <c r="D17" s="490"/>
      <c r="E17" s="7" t="s">
        <v>17</v>
      </c>
      <c r="F17" s="170"/>
      <c r="G17" s="170">
        <f>ROUNDUP(G13-G12,0)</f>
        <v>-82</v>
      </c>
      <c r="H17" s="170">
        <f t="shared" ref="H17:R17" si="5">ROUNDUP(H13-H12,0)</f>
        <v>-68</v>
      </c>
      <c r="I17" s="170">
        <f t="shared" si="5"/>
        <v>-54</v>
      </c>
      <c r="J17" s="170">
        <f t="shared" si="5"/>
        <v>-40</v>
      </c>
      <c r="K17" s="170">
        <f t="shared" si="5"/>
        <v>-39</v>
      </c>
      <c r="L17" s="170">
        <f t="shared" si="5"/>
        <v>-38</v>
      </c>
      <c r="M17" s="171">
        <f t="shared" si="5"/>
        <v>-37</v>
      </c>
      <c r="N17" s="170">
        <f t="shared" si="5"/>
        <v>-30</v>
      </c>
      <c r="O17" s="170">
        <f t="shared" si="5"/>
        <v>-22</v>
      </c>
      <c r="P17" s="171">
        <f t="shared" si="5"/>
        <v>-15</v>
      </c>
      <c r="Q17" s="170">
        <f t="shared" si="5"/>
        <v>-8</v>
      </c>
      <c r="R17" s="172">
        <f t="shared" si="5"/>
        <v>0</v>
      </c>
      <c r="S17" s="125"/>
    </row>
    <row r="18" spans="3:19" ht="33" hidden="1" customHeight="1" thickBot="1">
      <c r="C18" s="33"/>
      <c r="D18" s="34"/>
      <c r="E18" s="35" t="s">
        <v>25</v>
      </c>
      <c r="F18" s="36"/>
      <c r="G18" s="36">
        <f>G14-G12</f>
        <v>1885.0458399090958</v>
      </c>
      <c r="H18" s="37" t="s">
        <v>28</v>
      </c>
      <c r="I18" s="37" t="s">
        <v>28</v>
      </c>
      <c r="J18" s="37" t="s">
        <v>28</v>
      </c>
      <c r="K18" s="36">
        <f t="shared" ref="K18:R18" si="6">K14-K12</f>
        <v>2027.9575186137413</v>
      </c>
      <c r="L18" s="36">
        <f t="shared" si="6"/>
        <v>2210.2362010505358</v>
      </c>
      <c r="M18" s="36">
        <f t="shared" si="6"/>
        <v>2393.443626640495</v>
      </c>
      <c r="N18" s="36">
        <f t="shared" si="6"/>
        <v>2583.0997968690413</v>
      </c>
      <c r="O18" s="36">
        <f t="shared" si="6"/>
        <v>2771.7559670975875</v>
      </c>
      <c r="P18" s="36">
        <f t="shared" si="6"/>
        <v>2961.340880479298</v>
      </c>
      <c r="Q18" s="36">
        <f t="shared" si="6"/>
        <v>3149.9970507078442</v>
      </c>
      <c r="R18" s="38">
        <f t="shared" si="6"/>
        <v>3339.6532209363904</v>
      </c>
    </row>
    <row r="19" spans="3:19" ht="21.75" customHeight="1">
      <c r="C19" s="39"/>
    </row>
    <row r="20" spans="3:19" ht="21.75" customHeight="1">
      <c r="C20" s="39"/>
    </row>
    <row r="21" spans="3:19" ht="21.75" customHeight="1">
      <c r="C21" s="39"/>
    </row>
    <row r="22" spans="3:19" ht="21.75" customHeight="1">
      <c r="C22" s="39"/>
    </row>
    <row r="23" spans="3:19">
      <c r="C23" s="39"/>
    </row>
    <row r="24" spans="3:19">
      <c r="C24" s="39"/>
    </row>
  </sheetData>
  <mergeCells count="10">
    <mergeCell ref="C1:F2"/>
    <mergeCell ref="C17:D17"/>
    <mergeCell ref="C4:D4"/>
    <mergeCell ref="B8:B12"/>
    <mergeCell ref="C8:D8"/>
    <mergeCell ref="C11:D11"/>
    <mergeCell ref="C12:D12"/>
    <mergeCell ref="B13:B15"/>
    <mergeCell ref="C13:D14"/>
    <mergeCell ref="C15:D16"/>
  </mergeCells>
  <phoneticPr fontId="6"/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82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120"/>
  <sheetViews>
    <sheetView view="pageBreakPreview" topLeftCell="A2" zoomScale="85" zoomScaleNormal="60" zoomScaleSheetLayoutView="85" workbookViewId="0">
      <selection activeCell="I2" sqref="I2"/>
    </sheetView>
  </sheetViews>
  <sheetFormatPr defaultRowHeight="13.5"/>
  <cols>
    <col min="1" max="40" width="3.625" style="40" customWidth="1"/>
    <col min="41" max="98" width="2.875" style="40" customWidth="1"/>
    <col min="99" max="16384" width="9" style="40"/>
  </cols>
  <sheetData>
    <row r="2" spans="1:74">
      <c r="AV2" s="41"/>
      <c r="AW2" s="41"/>
      <c r="AX2" s="41"/>
      <c r="AY2" s="41"/>
      <c r="AZ2" s="41"/>
      <c r="BA2" s="41"/>
      <c r="BB2" s="41"/>
      <c r="BC2" s="41"/>
      <c r="BD2" s="41"/>
      <c r="BE2" s="41"/>
    </row>
    <row r="3" spans="1:74">
      <c r="A3" s="509" t="s">
        <v>30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V3" s="41"/>
      <c r="AW3" s="41"/>
      <c r="AX3" s="41"/>
      <c r="AY3" s="41"/>
      <c r="AZ3" s="41"/>
      <c r="BA3" s="41"/>
      <c r="BB3" s="41"/>
      <c r="BC3" s="41"/>
      <c r="BD3" s="41"/>
      <c r="BE3" s="41"/>
    </row>
    <row r="4" spans="1:74" ht="18" customHeight="1">
      <c r="A4" s="509"/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  <c r="N4" s="509"/>
      <c r="O4" s="509"/>
      <c r="P4" s="509"/>
      <c r="Q4" s="509"/>
      <c r="R4" s="509"/>
      <c r="S4" s="509"/>
      <c r="T4" s="509"/>
      <c r="U4" s="509"/>
      <c r="V4" s="509"/>
      <c r="W4" s="509"/>
      <c r="X4" s="509"/>
      <c r="Y4" s="509"/>
      <c r="Z4" s="509"/>
      <c r="AA4" s="509"/>
      <c r="AB4" s="509"/>
      <c r="AC4" s="509"/>
      <c r="AD4" s="509"/>
      <c r="AE4" s="509"/>
      <c r="AF4" s="509"/>
      <c r="AG4" s="509"/>
      <c r="AH4" s="509"/>
      <c r="AI4" s="509"/>
      <c r="AJ4" s="509"/>
      <c r="AK4" s="509"/>
      <c r="AL4" s="509"/>
      <c r="AM4" s="509"/>
      <c r="AV4" s="41"/>
      <c r="AW4" s="41"/>
      <c r="AX4" s="41"/>
      <c r="AY4" s="41"/>
      <c r="AZ4" s="41"/>
      <c r="BA4" s="41"/>
      <c r="BB4" s="41"/>
      <c r="BC4" s="41"/>
      <c r="BD4" s="41"/>
    </row>
    <row r="5" spans="1:74" ht="18" customHeight="1">
      <c r="A5" s="43"/>
      <c r="B5" s="43"/>
      <c r="C5" s="175" t="s">
        <v>118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186"/>
      <c r="BM5" s="41"/>
      <c r="BN5" s="41"/>
      <c r="BO5" s="41"/>
      <c r="BP5" s="41"/>
      <c r="BQ5" s="41"/>
      <c r="BR5" s="41"/>
      <c r="BS5" s="41"/>
      <c r="BT5" s="41"/>
      <c r="BU5" s="41"/>
      <c r="BV5" s="41"/>
    </row>
    <row r="6" spans="1:74" ht="15.75" customHeight="1" thickBot="1">
      <c r="A6" s="178"/>
      <c r="AN6" s="42"/>
      <c r="BM6" s="41"/>
      <c r="BN6" s="41"/>
      <c r="BO6" s="41"/>
      <c r="BP6" s="41"/>
      <c r="BQ6" s="41"/>
      <c r="BR6" s="41"/>
      <c r="BS6" s="41"/>
      <c r="BT6" s="41"/>
      <c r="BU6" s="41"/>
      <c r="BV6" s="41"/>
    </row>
    <row r="7" spans="1:74" ht="18.75" customHeight="1">
      <c r="A7" s="510" t="s">
        <v>31</v>
      </c>
      <c r="B7" s="511"/>
      <c r="C7" s="516" t="s">
        <v>123</v>
      </c>
      <c r="D7" s="517"/>
      <c r="E7" s="524" t="s">
        <v>32</v>
      </c>
      <c r="F7" s="525"/>
      <c r="G7" s="525"/>
      <c r="H7" s="525"/>
      <c r="I7" s="525"/>
      <c r="J7" s="525"/>
      <c r="K7" s="525"/>
      <c r="L7" s="525"/>
      <c r="M7" s="525"/>
      <c r="N7" s="525"/>
      <c r="O7" s="525"/>
      <c r="P7" s="526"/>
      <c r="Q7" s="524" t="s">
        <v>33</v>
      </c>
      <c r="R7" s="525"/>
      <c r="S7" s="525"/>
      <c r="T7" s="525"/>
      <c r="U7" s="525"/>
      <c r="V7" s="525"/>
      <c r="W7" s="525"/>
      <c r="X7" s="525"/>
      <c r="Y7" s="525"/>
      <c r="Z7" s="525"/>
      <c r="AA7" s="525"/>
      <c r="AB7" s="526"/>
      <c r="AC7" s="524" t="s">
        <v>119</v>
      </c>
      <c r="AD7" s="525"/>
      <c r="AE7" s="525"/>
      <c r="AF7" s="525"/>
      <c r="AG7" s="525"/>
      <c r="AH7" s="525"/>
      <c r="AI7" s="525"/>
      <c r="AJ7" s="525"/>
      <c r="AK7" s="525"/>
      <c r="AL7" s="525"/>
      <c r="AM7" s="525"/>
      <c r="AN7" s="530"/>
      <c r="BM7" s="41"/>
      <c r="BN7" s="41"/>
      <c r="BO7" s="41"/>
      <c r="BP7" s="41"/>
      <c r="BQ7" s="41"/>
      <c r="BR7" s="41"/>
      <c r="BS7" s="41"/>
      <c r="BT7" s="41"/>
      <c r="BU7" s="41"/>
      <c r="BV7" s="41"/>
    </row>
    <row r="8" spans="1:74" ht="18.75" customHeight="1">
      <c r="A8" s="512"/>
      <c r="B8" s="513"/>
      <c r="C8" s="518"/>
      <c r="D8" s="519"/>
      <c r="E8" s="527"/>
      <c r="F8" s="528"/>
      <c r="G8" s="528"/>
      <c r="H8" s="528"/>
      <c r="I8" s="528"/>
      <c r="J8" s="528"/>
      <c r="K8" s="528"/>
      <c r="L8" s="528"/>
      <c r="M8" s="528"/>
      <c r="N8" s="528"/>
      <c r="O8" s="528"/>
      <c r="P8" s="529"/>
      <c r="Q8" s="527"/>
      <c r="R8" s="528"/>
      <c r="S8" s="528"/>
      <c r="T8" s="528"/>
      <c r="U8" s="528"/>
      <c r="V8" s="528"/>
      <c r="W8" s="528"/>
      <c r="X8" s="528"/>
      <c r="Y8" s="528"/>
      <c r="Z8" s="528"/>
      <c r="AA8" s="528"/>
      <c r="AB8" s="529"/>
      <c r="AC8" s="527"/>
      <c r="AD8" s="528"/>
      <c r="AE8" s="528"/>
      <c r="AF8" s="528"/>
      <c r="AG8" s="528"/>
      <c r="AH8" s="528"/>
      <c r="AI8" s="528"/>
      <c r="AJ8" s="528"/>
      <c r="AK8" s="528"/>
      <c r="AL8" s="528"/>
      <c r="AM8" s="528"/>
      <c r="AN8" s="531"/>
    </row>
    <row r="9" spans="1:74" ht="18.75" customHeight="1">
      <c r="A9" s="512"/>
      <c r="B9" s="513"/>
      <c r="C9" s="518"/>
      <c r="D9" s="519"/>
      <c r="E9" s="532" t="s">
        <v>133</v>
      </c>
      <c r="F9" s="533"/>
      <c r="G9" s="533"/>
      <c r="H9" s="533"/>
      <c r="I9" s="533"/>
      <c r="J9" s="533"/>
      <c r="K9" s="533"/>
      <c r="L9" s="533"/>
      <c r="M9" s="533"/>
      <c r="N9" s="533"/>
      <c r="O9" s="533"/>
      <c r="P9" s="534"/>
      <c r="Q9" s="540" t="s">
        <v>34</v>
      </c>
      <c r="R9" s="541"/>
      <c r="S9" s="541"/>
      <c r="T9" s="541"/>
      <c r="U9" s="541"/>
      <c r="V9" s="541"/>
      <c r="W9" s="541"/>
      <c r="X9" s="541"/>
      <c r="Y9" s="541"/>
      <c r="Z9" s="541"/>
      <c r="AA9" s="541"/>
      <c r="AB9" s="542"/>
      <c r="AC9" s="540" t="s">
        <v>35</v>
      </c>
      <c r="AD9" s="541"/>
      <c r="AE9" s="541"/>
      <c r="AF9" s="541"/>
      <c r="AG9" s="541"/>
      <c r="AH9" s="541"/>
      <c r="AI9" s="541"/>
      <c r="AJ9" s="541"/>
      <c r="AK9" s="541"/>
      <c r="AL9" s="541"/>
      <c r="AM9" s="541"/>
      <c r="AN9" s="549"/>
    </row>
    <row r="10" spans="1:74" ht="18.75" customHeight="1">
      <c r="A10" s="512"/>
      <c r="B10" s="513"/>
      <c r="C10" s="520"/>
      <c r="D10" s="519"/>
      <c r="E10" s="535"/>
      <c r="F10" s="536"/>
      <c r="G10" s="536"/>
      <c r="H10" s="536"/>
      <c r="I10" s="536"/>
      <c r="J10" s="536"/>
      <c r="K10" s="536"/>
      <c r="L10" s="536"/>
      <c r="M10" s="536"/>
      <c r="N10" s="536"/>
      <c r="O10" s="536"/>
      <c r="P10" s="537"/>
      <c r="Q10" s="543"/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5"/>
      <c r="AC10" s="543"/>
      <c r="AD10" s="544"/>
      <c r="AE10" s="544"/>
      <c r="AF10" s="544"/>
      <c r="AG10" s="544"/>
      <c r="AH10" s="544"/>
      <c r="AI10" s="544"/>
      <c r="AJ10" s="544"/>
      <c r="AK10" s="544"/>
      <c r="AL10" s="544"/>
      <c r="AM10" s="544"/>
      <c r="AN10" s="550"/>
    </row>
    <row r="11" spans="1:74" ht="18.75" customHeight="1">
      <c r="A11" s="512"/>
      <c r="B11" s="513"/>
      <c r="C11" s="520"/>
      <c r="D11" s="519"/>
      <c r="E11" s="535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7"/>
      <c r="Q11" s="543"/>
      <c r="R11" s="544"/>
      <c r="S11" s="544"/>
      <c r="T11" s="544"/>
      <c r="U11" s="544"/>
      <c r="V11" s="544"/>
      <c r="W11" s="544"/>
      <c r="X11" s="544"/>
      <c r="Y11" s="544"/>
      <c r="Z11" s="544"/>
      <c r="AA11" s="544"/>
      <c r="AB11" s="545"/>
      <c r="AC11" s="543"/>
      <c r="AD11" s="544"/>
      <c r="AE11" s="544"/>
      <c r="AF11" s="544"/>
      <c r="AG11" s="544"/>
      <c r="AH11" s="544"/>
      <c r="AI11" s="544"/>
      <c r="AJ11" s="544"/>
      <c r="AK11" s="544"/>
      <c r="AL11" s="544"/>
      <c r="AM11" s="544"/>
      <c r="AN11" s="550"/>
    </row>
    <row r="12" spans="1:74" ht="18.75" customHeight="1" thickBot="1">
      <c r="A12" s="512"/>
      <c r="B12" s="513"/>
      <c r="C12" s="520"/>
      <c r="D12" s="519"/>
      <c r="E12" s="535"/>
      <c r="F12" s="536"/>
      <c r="G12" s="536"/>
      <c r="H12" s="536"/>
      <c r="I12" s="536"/>
      <c r="J12" s="536"/>
      <c r="K12" s="536"/>
      <c r="L12" s="536"/>
      <c r="M12" s="536"/>
      <c r="N12" s="538"/>
      <c r="O12" s="538"/>
      <c r="P12" s="539"/>
      <c r="Q12" s="546"/>
      <c r="R12" s="547"/>
      <c r="S12" s="547"/>
      <c r="T12" s="547"/>
      <c r="U12" s="547"/>
      <c r="V12" s="547"/>
      <c r="W12" s="547"/>
      <c r="X12" s="547"/>
      <c r="Y12" s="547"/>
      <c r="Z12" s="547"/>
      <c r="AA12" s="547"/>
      <c r="AB12" s="548"/>
      <c r="AC12" s="546"/>
      <c r="AD12" s="547"/>
      <c r="AE12" s="547"/>
      <c r="AF12" s="547"/>
      <c r="AG12" s="547"/>
      <c r="AH12" s="547"/>
      <c r="AI12" s="547"/>
      <c r="AJ12" s="547"/>
      <c r="AK12" s="547"/>
      <c r="AL12" s="547"/>
      <c r="AM12" s="547"/>
      <c r="AN12" s="551"/>
    </row>
    <row r="13" spans="1:74" ht="18.75" customHeight="1" thickTop="1">
      <c r="A13" s="512"/>
      <c r="B13" s="513"/>
      <c r="C13" s="520"/>
      <c r="D13" s="521"/>
      <c r="E13" s="589">
        <f>シート①!I11</f>
        <v>7227</v>
      </c>
      <c r="F13" s="590"/>
      <c r="G13" s="590"/>
      <c r="H13" s="590"/>
      <c r="I13" s="590"/>
      <c r="J13" s="590"/>
      <c r="K13" s="590"/>
      <c r="L13" s="590"/>
      <c r="M13" s="591"/>
      <c r="N13" s="107"/>
      <c r="O13" s="107"/>
      <c r="P13" s="108"/>
      <c r="Q13" s="584">
        <v>1.78</v>
      </c>
      <c r="R13" s="585"/>
      <c r="S13" s="585"/>
      <c r="T13" s="585"/>
      <c r="U13" s="585"/>
      <c r="V13" s="585"/>
      <c r="W13" s="585"/>
      <c r="X13" s="585"/>
      <c r="Y13" s="585"/>
      <c r="Z13" s="107"/>
      <c r="AA13" s="107"/>
      <c r="AB13" s="108"/>
      <c r="AC13" s="559">
        <f>E13*Q13</f>
        <v>12864.06</v>
      </c>
      <c r="AD13" s="560"/>
      <c r="AE13" s="560"/>
      <c r="AF13" s="560"/>
      <c r="AG13" s="560"/>
      <c r="AH13" s="560"/>
      <c r="AI13" s="560"/>
      <c r="AJ13" s="560"/>
      <c r="AK13" s="560"/>
      <c r="AL13" s="109"/>
      <c r="AM13" s="109"/>
      <c r="AN13" s="110"/>
    </row>
    <row r="14" spans="1:74" ht="18.75" customHeight="1" thickBot="1">
      <c r="A14" s="512"/>
      <c r="B14" s="513"/>
      <c r="C14" s="522"/>
      <c r="D14" s="523"/>
      <c r="E14" s="592"/>
      <c r="F14" s="593"/>
      <c r="G14" s="593"/>
      <c r="H14" s="593"/>
      <c r="I14" s="593"/>
      <c r="J14" s="593"/>
      <c r="K14" s="593"/>
      <c r="L14" s="593"/>
      <c r="M14" s="594"/>
      <c r="N14" s="111"/>
      <c r="O14" s="111"/>
      <c r="P14" s="112" t="s">
        <v>37</v>
      </c>
      <c r="Q14" s="586"/>
      <c r="R14" s="587"/>
      <c r="S14" s="587"/>
      <c r="T14" s="587"/>
      <c r="U14" s="587"/>
      <c r="V14" s="587"/>
      <c r="W14" s="587"/>
      <c r="X14" s="587"/>
      <c r="Y14" s="587"/>
      <c r="Z14" s="111"/>
      <c r="AA14" s="111"/>
      <c r="AB14" s="112" t="s">
        <v>38</v>
      </c>
      <c r="AC14" s="561"/>
      <c r="AD14" s="562"/>
      <c r="AE14" s="562"/>
      <c r="AF14" s="562"/>
      <c r="AG14" s="562"/>
      <c r="AH14" s="562"/>
      <c r="AI14" s="562"/>
      <c r="AJ14" s="562"/>
      <c r="AK14" s="562"/>
      <c r="AL14" s="113"/>
      <c r="AM14" s="113"/>
      <c r="AN14" s="114" t="s">
        <v>38</v>
      </c>
    </row>
    <row r="15" spans="1:74" ht="18.75" customHeight="1">
      <c r="A15" s="512"/>
      <c r="B15" s="513"/>
      <c r="C15" s="516" t="s">
        <v>124</v>
      </c>
      <c r="D15" s="552"/>
      <c r="E15" s="581" t="s">
        <v>106</v>
      </c>
      <c r="F15" s="544"/>
      <c r="G15" s="544"/>
      <c r="H15" s="544"/>
      <c r="I15" s="544"/>
      <c r="J15" s="544"/>
      <c r="K15" s="544"/>
      <c r="L15" s="544"/>
      <c r="M15" s="544"/>
      <c r="N15" s="525"/>
      <c r="O15" s="525"/>
      <c r="P15" s="526"/>
      <c r="Q15" s="582" t="s">
        <v>40</v>
      </c>
      <c r="R15" s="525"/>
      <c r="S15" s="525"/>
      <c r="T15" s="525"/>
      <c r="U15" s="525"/>
      <c r="V15" s="525"/>
      <c r="W15" s="525"/>
      <c r="X15" s="525"/>
      <c r="Y15" s="525"/>
      <c r="Z15" s="525"/>
      <c r="AA15" s="525"/>
      <c r="AB15" s="526"/>
      <c r="AC15" s="583" t="s">
        <v>120</v>
      </c>
      <c r="AD15" s="525"/>
      <c r="AE15" s="525"/>
      <c r="AF15" s="525"/>
      <c r="AG15" s="525"/>
      <c r="AH15" s="525"/>
      <c r="AI15" s="525"/>
      <c r="AJ15" s="525"/>
      <c r="AK15" s="525"/>
      <c r="AL15" s="525"/>
      <c r="AM15" s="525"/>
      <c r="AN15" s="530"/>
    </row>
    <row r="16" spans="1:74" ht="18.75" customHeight="1">
      <c r="A16" s="512"/>
      <c r="B16" s="513"/>
      <c r="C16" s="518"/>
      <c r="D16" s="553"/>
      <c r="E16" s="527"/>
      <c r="F16" s="528"/>
      <c r="G16" s="528"/>
      <c r="H16" s="528"/>
      <c r="I16" s="528"/>
      <c r="J16" s="528"/>
      <c r="K16" s="528"/>
      <c r="L16" s="528"/>
      <c r="M16" s="528"/>
      <c r="N16" s="528"/>
      <c r="O16" s="528"/>
      <c r="P16" s="529"/>
      <c r="Q16" s="527"/>
      <c r="R16" s="528"/>
      <c r="S16" s="528"/>
      <c r="T16" s="528"/>
      <c r="U16" s="528"/>
      <c r="V16" s="528"/>
      <c r="W16" s="528"/>
      <c r="X16" s="528"/>
      <c r="Y16" s="528"/>
      <c r="Z16" s="528"/>
      <c r="AA16" s="528"/>
      <c r="AB16" s="529"/>
      <c r="AC16" s="527"/>
      <c r="AD16" s="528"/>
      <c r="AE16" s="528"/>
      <c r="AF16" s="528"/>
      <c r="AG16" s="528"/>
      <c r="AH16" s="528"/>
      <c r="AI16" s="528"/>
      <c r="AJ16" s="528"/>
      <c r="AK16" s="528"/>
      <c r="AL16" s="528"/>
      <c r="AM16" s="528"/>
      <c r="AN16" s="531"/>
    </row>
    <row r="17" spans="1:40" ht="18.75" customHeight="1">
      <c r="A17" s="512"/>
      <c r="B17" s="513"/>
      <c r="C17" s="518"/>
      <c r="D17" s="553"/>
      <c r="E17" s="558" t="s">
        <v>122</v>
      </c>
      <c r="F17" s="541"/>
      <c r="G17" s="541"/>
      <c r="H17" s="541"/>
      <c r="I17" s="541"/>
      <c r="J17" s="541"/>
      <c r="K17" s="541"/>
      <c r="L17" s="541"/>
      <c r="M17" s="541"/>
      <c r="N17" s="541"/>
      <c r="O17" s="541"/>
      <c r="P17" s="542"/>
      <c r="Q17" s="557" t="s">
        <v>121</v>
      </c>
      <c r="R17" s="541"/>
      <c r="S17" s="541"/>
      <c r="T17" s="541"/>
      <c r="U17" s="541"/>
      <c r="V17" s="541"/>
      <c r="W17" s="541"/>
      <c r="X17" s="541"/>
      <c r="Y17" s="541"/>
      <c r="Z17" s="541"/>
      <c r="AA17" s="541"/>
      <c r="AB17" s="542"/>
      <c r="AC17" s="558" t="s">
        <v>122</v>
      </c>
      <c r="AD17" s="541"/>
      <c r="AE17" s="541"/>
      <c r="AF17" s="541"/>
      <c r="AG17" s="541"/>
      <c r="AH17" s="541"/>
      <c r="AI17" s="541"/>
      <c r="AJ17" s="541"/>
      <c r="AK17" s="541"/>
      <c r="AL17" s="541"/>
      <c r="AM17" s="541"/>
      <c r="AN17" s="549"/>
    </row>
    <row r="18" spans="1:40" ht="18.75" customHeight="1">
      <c r="A18" s="512"/>
      <c r="B18" s="513"/>
      <c r="C18" s="518"/>
      <c r="D18" s="553"/>
      <c r="E18" s="543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5"/>
      <c r="Q18" s="543"/>
      <c r="R18" s="544"/>
      <c r="S18" s="544"/>
      <c r="T18" s="544"/>
      <c r="U18" s="544"/>
      <c r="V18" s="544"/>
      <c r="W18" s="544"/>
      <c r="X18" s="544"/>
      <c r="Y18" s="544"/>
      <c r="Z18" s="544"/>
      <c r="AA18" s="544"/>
      <c r="AB18" s="545"/>
      <c r="AC18" s="543"/>
      <c r="AD18" s="544"/>
      <c r="AE18" s="544"/>
      <c r="AF18" s="544"/>
      <c r="AG18" s="544"/>
      <c r="AH18" s="544"/>
      <c r="AI18" s="544"/>
      <c r="AJ18" s="544"/>
      <c r="AK18" s="544"/>
      <c r="AL18" s="544"/>
      <c r="AM18" s="544"/>
      <c r="AN18" s="550"/>
    </row>
    <row r="19" spans="1:40" ht="18.75" customHeight="1">
      <c r="A19" s="512"/>
      <c r="B19" s="513"/>
      <c r="C19" s="518"/>
      <c r="D19" s="553"/>
      <c r="E19" s="543"/>
      <c r="F19" s="544"/>
      <c r="G19" s="544"/>
      <c r="H19" s="544"/>
      <c r="I19" s="544"/>
      <c r="J19" s="544"/>
      <c r="K19" s="544"/>
      <c r="L19" s="544"/>
      <c r="M19" s="544"/>
      <c r="N19" s="544"/>
      <c r="O19" s="544"/>
      <c r="P19" s="545"/>
      <c r="Q19" s="543"/>
      <c r="R19" s="544"/>
      <c r="S19" s="544"/>
      <c r="T19" s="544"/>
      <c r="U19" s="544"/>
      <c r="V19" s="544"/>
      <c r="W19" s="544"/>
      <c r="X19" s="544"/>
      <c r="Y19" s="544"/>
      <c r="Z19" s="544"/>
      <c r="AA19" s="544"/>
      <c r="AB19" s="545"/>
      <c r="AC19" s="543"/>
      <c r="AD19" s="544"/>
      <c r="AE19" s="544"/>
      <c r="AF19" s="544"/>
      <c r="AG19" s="544"/>
      <c r="AH19" s="544"/>
      <c r="AI19" s="544"/>
      <c r="AJ19" s="544"/>
      <c r="AK19" s="544"/>
      <c r="AL19" s="544"/>
      <c r="AM19" s="544"/>
      <c r="AN19" s="550"/>
    </row>
    <row r="20" spans="1:40" ht="18.75" customHeight="1" thickBot="1">
      <c r="A20" s="512"/>
      <c r="B20" s="513"/>
      <c r="C20" s="518"/>
      <c r="D20" s="553"/>
      <c r="E20" s="543"/>
      <c r="F20" s="544"/>
      <c r="G20" s="544"/>
      <c r="H20" s="544"/>
      <c r="I20" s="544"/>
      <c r="J20" s="544"/>
      <c r="K20" s="544"/>
      <c r="L20" s="544"/>
      <c r="M20" s="544"/>
      <c r="N20" s="547"/>
      <c r="O20" s="547"/>
      <c r="P20" s="548"/>
      <c r="Q20" s="546"/>
      <c r="R20" s="547"/>
      <c r="S20" s="547"/>
      <c r="T20" s="547"/>
      <c r="U20" s="547"/>
      <c r="V20" s="547"/>
      <c r="W20" s="547"/>
      <c r="X20" s="547"/>
      <c r="Y20" s="547"/>
      <c r="Z20" s="547"/>
      <c r="AA20" s="547"/>
      <c r="AB20" s="548"/>
      <c r="AC20" s="546"/>
      <c r="AD20" s="547"/>
      <c r="AE20" s="547"/>
      <c r="AF20" s="547"/>
      <c r="AG20" s="547"/>
      <c r="AH20" s="547"/>
      <c r="AI20" s="547"/>
      <c r="AJ20" s="547"/>
      <c r="AK20" s="547"/>
      <c r="AL20" s="547"/>
      <c r="AM20" s="547"/>
      <c r="AN20" s="551"/>
    </row>
    <row r="21" spans="1:40" ht="18.75" customHeight="1" thickTop="1">
      <c r="A21" s="512"/>
      <c r="B21" s="513"/>
      <c r="C21" s="518"/>
      <c r="D21" s="554"/>
      <c r="E21" s="629">
        <f>需要・供給量試算シミュレーション!G13</f>
        <v>189</v>
      </c>
      <c r="F21" s="630"/>
      <c r="G21" s="630"/>
      <c r="H21" s="630"/>
      <c r="I21" s="630"/>
      <c r="J21" s="630"/>
      <c r="K21" s="630"/>
      <c r="L21" s="630"/>
      <c r="M21" s="631"/>
      <c r="N21" s="107"/>
      <c r="O21" s="107"/>
      <c r="P21" s="180"/>
      <c r="Q21" s="584">
        <f>AC21/E21</f>
        <v>64.095238095238102</v>
      </c>
      <c r="R21" s="585"/>
      <c r="S21" s="585"/>
      <c r="T21" s="585"/>
      <c r="U21" s="585"/>
      <c r="V21" s="585"/>
      <c r="W21" s="585"/>
      <c r="X21" s="585"/>
      <c r="Y21" s="585"/>
      <c r="Z21" s="107"/>
      <c r="AA21" s="107"/>
      <c r="AB21" s="108"/>
      <c r="AC21" s="559">
        <f>需要・供給量試算シミュレーション!G15</f>
        <v>12114</v>
      </c>
      <c r="AD21" s="560"/>
      <c r="AE21" s="560"/>
      <c r="AF21" s="560"/>
      <c r="AG21" s="560"/>
      <c r="AH21" s="560"/>
      <c r="AI21" s="560"/>
      <c r="AJ21" s="560"/>
      <c r="AK21" s="560"/>
      <c r="AL21" s="109"/>
      <c r="AM21" s="109"/>
      <c r="AN21" s="110"/>
    </row>
    <row r="22" spans="1:40" ht="18.75" customHeight="1" thickBot="1">
      <c r="A22" s="514"/>
      <c r="B22" s="515"/>
      <c r="C22" s="555"/>
      <c r="D22" s="556"/>
      <c r="E22" s="632"/>
      <c r="F22" s="633"/>
      <c r="G22" s="633"/>
      <c r="H22" s="633"/>
      <c r="I22" s="633"/>
      <c r="J22" s="633"/>
      <c r="K22" s="633"/>
      <c r="L22" s="633"/>
      <c r="M22" s="634"/>
      <c r="N22" s="111"/>
      <c r="O22" s="111"/>
      <c r="P22" s="112" t="s">
        <v>42</v>
      </c>
      <c r="Q22" s="586"/>
      <c r="R22" s="587"/>
      <c r="S22" s="587"/>
      <c r="T22" s="587"/>
      <c r="U22" s="587"/>
      <c r="V22" s="587"/>
      <c r="W22" s="587"/>
      <c r="X22" s="587"/>
      <c r="Y22" s="587"/>
      <c r="Z22" s="111"/>
      <c r="AA22" s="111"/>
      <c r="AB22" s="112" t="s">
        <v>38</v>
      </c>
      <c r="AC22" s="561"/>
      <c r="AD22" s="562"/>
      <c r="AE22" s="562"/>
      <c r="AF22" s="562"/>
      <c r="AG22" s="562"/>
      <c r="AH22" s="562"/>
      <c r="AI22" s="562"/>
      <c r="AJ22" s="562"/>
      <c r="AK22" s="562"/>
      <c r="AL22" s="113"/>
      <c r="AM22" s="113"/>
      <c r="AN22" s="114" t="s">
        <v>38</v>
      </c>
    </row>
    <row r="23" spans="1:40" ht="13.5" customHeight="1">
      <c r="A23" s="47"/>
      <c r="B23" s="47"/>
      <c r="C23" s="48"/>
      <c r="D23" s="48"/>
      <c r="E23" s="181" t="s">
        <v>43</v>
      </c>
      <c r="F23" s="94"/>
      <c r="G23" s="94"/>
      <c r="H23" s="94"/>
      <c r="I23" s="94"/>
      <c r="J23" s="94"/>
      <c r="K23" s="94"/>
      <c r="L23" s="94"/>
      <c r="M23" s="94"/>
      <c r="N23" s="50"/>
      <c r="O23" s="50"/>
      <c r="P23" s="51"/>
      <c r="Q23" s="52"/>
      <c r="R23" s="52"/>
      <c r="S23" s="52"/>
      <c r="T23" s="52"/>
      <c r="U23" s="52"/>
      <c r="V23" s="52"/>
      <c r="W23" s="52"/>
      <c r="X23" s="52"/>
      <c r="Y23" s="52"/>
      <c r="Z23" s="50"/>
      <c r="AA23" s="50"/>
      <c r="AB23" s="51"/>
      <c r="AC23" s="49"/>
      <c r="AD23" s="49"/>
      <c r="AE23" s="49"/>
      <c r="AF23" s="49"/>
      <c r="AG23" s="49"/>
      <c r="AH23" s="49"/>
      <c r="AI23" s="49"/>
      <c r="AJ23" s="49"/>
      <c r="AK23" s="49"/>
      <c r="AL23" s="53"/>
      <c r="AM23" s="53"/>
      <c r="AN23" s="54"/>
    </row>
    <row r="24" spans="1:40" ht="13.5" customHeight="1">
      <c r="A24" s="55"/>
      <c r="B24" s="55"/>
      <c r="C24" s="56"/>
      <c r="D24" s="56"/>
      <c r="E24" s="94"/>
      <c r="F24" s="94"/>
      <c r="G24" s="94"/>
      <c r="H24" s="94"/>
      <c r="I24" s="94"/>
      <c r="J24" s="94"/>
      <c r="K24" s="94"/>
      <c r="L24" s="94"/>
      <c r="M24" s="94"/>
      <c r="N24" s="58"/>
      <c r="O24" s="58"/>
      <c r="P24" s="59"/>
      <c r="Q24" s="60"/>
      <c r="R24" s="60"/>
      <c r="S24" s="60"/>
      <c r="T24" s="60"/>
      <c r="U24" s="60"/>
      <c r="V24" s="60"/>
      <c r="W24" s="60"/>
      <c r="X24" s="60"/>
      <c r="Y24" s="60"/>
      <c r="Z24" s="58"/>
      <c r="AA24" s="58"/>
      <c r="AB24" s="59"/>
      <c r="AC24" s="94"/>
      <c r="AD24" s="94"/>
      <c r="AE24" s="94"/>
      <c r="AF24" s="94"/>
      <c r="AG24" s="94"/>
      <c r="AH24" s="94"/>
      <c r="AI24" s="94"/>
      <c r="AJ24" s="94"/>
      <c r="AK24" s="94"/>
      <c r="AL24" s="61"/>
      <c r="AM24" s="61"/>
      <c r="AN24" s="62"/>
    </row>
    <row r="25" spans="1:40" ht="18.75" customHeight="1" thickBot="1">
      <c r="A25" s="63"/>
      <c r="B25" s="63"/>
      <c r="C25" s="64"/>
      <c r="D25" s="64"/>
      <c r="E25" s="94"/>
      <c r="F25" s="94"/>
      <c r="G25" s="94"/>
      <c r="H25" s="94"/>
      <c r="I25" s="94"/>
      <c r="J25" s="94"/>
      <c r="K25" s="94"/>
      <c r="L25" s="94"/>
      <c r="M25" s="94"/>
      <c r="N25" s="58"/>
      <c r="O25" s="58"/>
      <c r="P25" s="59"/>
      <c r="Q25" s="94"/>
      <c r="R25" s="94"/>
      <c r="S25" s="94"/>
      <c r="T25" s="94"/>
      <c r="U25" s="94"/>
      <c r="V25" s="94"/>
      <c r="W25" s="94"/>
      <c r="X25" s="94"/>
      <c r="Y25" s="94"/>
      <c r="Z25" s="58"/>
      <c r="AA25" s="58"/>
      <c r="AB25" s="59"/>
      <c r="AC25" s="94"/>
      <c r="AD25" s="94"/>
      <c r="AE25" s="94"/>
      <c r="AF25" s="94"/>
      <c r="AG25" s="94"/>
      <c r="AH25" s="94"/>
      <c r="AI25" s="94"/>
      <c r="AJ25" s="94"/>
      <c r="AK25" s="94"/>
      <c r="AL25" s="61"/>
      <c r="AM25" s="61"/>
      <c r="AN25" s="62"/>
    </row>
    <row r="26" spans="1:40" ht="15" customHeight="1">
      <c r="A26" s="63"/>
      <c r="B26" s="63"/>
      <c r="C26" s="177"/>
      <c r="D26" s="177"/>
      <c r="E26" s="176"/>
      <c r="F26" s="176"/>
      <c r="G26" s="176"/>
      <c r="H26" s="176"/>
      <c r="I26" s="176"/>
      <c r="J26" s="176"/>
      <c r="K26" s="176"/>
      <c r="L26" s="176"/>
      <c r="M26" s="607" t="s">
        <v>107</v>
      </c>
      <c r="N26" s="608"/>
      <c r="O26" s="608"/>
      <c r="P26" s="608"/>
      <c r="Q26" s="608"/>
      <c r="R26" s="608"/>
      <c r="S26" s="609"/>
      <c r="T26" s="613" t="s">
        <v>108</v>
      </c>
      <c r="U26" s="608"/>
      <c r="V26" s="608"/>
      <c r="W26" s="608"/>
      <c r="X26" s="608"/>
      <c r="Y26" s="608"/>
      <c r="Z26" s="614"/>
      <c r="AA26" s="58"/>
      <c r="AB26" s="59"/>
      <c r="AC26" s="176"/>
      <c r="AD26" s="176"/>
      <c r="AE26" s="176"/>
      <c r="AF26" s="176"/>
      <c r="AG26" s="176"/>
      <c r="AH26" s="176"/>
      <c r="AI26" s="176"/>
      <c r="AJ26" s="176"/>
      <c r="AK26" s="176"/>
      <c r="AL26" s="61"/>
      <c r="AM26" s="61"/>
      <c r="AN26" s="62"/>
    </row>
    <row r="27" spans="1:40" ht="15" customHeight="1">
      <c r="A27" s="63"/>
      <c r="B27" s="63"/>
      <c r="C27" s="177"/>
      <c r="D27" s="177"/>
      <c r="E27" s="176"/>
      <c r="F27" s="176"/>
      <c r="G27" s="176"/>
      <c r="H27" s="176"/>
      <c r="I27" s="176"/>
      <c r="J27" s="176"/>
      <c r="K27" s="176"/>
      <c r="L27" s="176"/>
      <c r="M27" s="610"/>
      <c r="N27" s="611"/>
      <c r="O27" s="611"/>
      <c r="P27" s="611"/>
      <c r="Q27" s="611"/>
      <c r="R27" s="611"/>
      <c r="S27" s="612"/>
      <c r="T27" s="615"/>
      <c r="U27" s="611"/>
      <c r="V27" s="611"/>
      <c r="W27" s="611"/>
      <c r="X27" s="611"/>
      <c r="Y27" s="611"/>
      <c r="Z27" s="616"/>
      <c r="AA27" s="58"/>
      <c r="AB27" s="59"/>
      <c r="AC27" s="176"/>
      <c r="AD27" s="176"/>
      <c r="AE27" s="176"/>
      <c r="AF27" s="176"/>
      <c r="AG27" s="176"/>
      <c r="AH27" s="176"/>
      <c r="AI27" s="176"/>
      <c r="AJ27" s="176"/>
      <c r="AK27" s="176"/>
      <c r="AL27" s="61"/>
      <c r="AM27" s="61"/>
      <c r="AN27" s="62"/>
    </row>
    <row r="28" spans="1:40" ht="15" customHeight="1">
      <c r="A28" s="63"/>
      <c r="B28" s="63"/>
      <c r="C28" s="177"/>
      <c r="D28" s="177"/>
      <c r="E28" s="176"/>
      <c r="F28" s="176"/>
      <c r="G28" s="176"/>
      <c r="H28" s="176"/>
      <c r="I28" s="176"/>
      <c r="J28" s="176"/>
      <c r="K28" s="176"/>
      <c r="L28" s="176"/>
      <c r="M28" s="563" t="s">
        <v>36</v>
      </c>
      <c r="N28" s="564"/>
      <c r="O28" s="564"/>
      <c r="P28" s="564"/>
      <c r="Q28" s="564"/>
      <c r="R28" s="564"/>
      <c r="S28" s="565"/>
      <c r="T28" s="572" t="s">
        <v>109</v>
      </c>
      <c r="U28" s="573"/>
      <c r="V28" s="573"/>
      <c r="W28" s="573"/>
      <c r="X28" s="573"/>
      <c r="Y28" s="573"/>
      <c r="Z28" s="574"/>
      <c r="AA28" s="58"/>
      <c r="AB28" s="59"/>
      <c r="AC28" s="176"/>
      <c r="AD28" s="176"/>
      <c r="AE28" s="176"/>
      <c r="AF28" s="176"/>
      <c r="AG28" s="176"/>
      <c r="AH28" s="176"/>
      <c r="AI28" s="176"/>
      <c r="AJ28" s="176"/>
      <c r="AK28" s="176"/>
      <c r="AL28" s="61"/>
      <c r="AM28" s="61"/>
      <c r="AN28" s="62"/>
    </row>
    <row r="29" spans="1:40" ht="15" customHeight="1">
      <c r="A29" s="63"/>
      <c r="B29" s="63"/>
      <c r="C29" s="177"/>
      <c r="D29" s="177"/>
      <c r="E29" s="176"/>
      <c r="F29" s="176"/>
      <c r="G29" s="176"/>
      <c r="H29" s="176"/>
      <c r="I29" s="176"/>
      <c r="J29" s="176"/>
      <c r="K29" s="176"/>
      <c r="L29" s="176"/>
      <c r="M29" s="566"/>
      <c r="N29" s="567"/>
      <c r="O29" s="567"/>
      <c r="P29" s="567"/>
      <c r="Q29" s="567"/>
      <c r="R29" s="567"/>
      <c r="S29" s="568"/>
      <c r="T29" s="575"/>
      <c r="U29" s="576"/>
      <c r="V29" s="576"/>
      <c r="W29" s="576"/>
      <c r="X29" s="576"/>
      <c r="Y29" s="576"/>
      <c r="Z29" s="577"/>
      <c r="AA29" s="58"/>
      <c r="AB29" s="59"/>
      <c r="AC29" s="176"/>
      <c r="AD29" s="176"/>
      <c r="AE29" s="176"/>
      <c r="AF29" s="176"/>
      <c r="AG29" s="176"/>
      <c r="AH29" s="176"/>
      <c r="AI29" s="176"/>
      <c r="AJ29" s="176"/>
      <c r="AK29" s="176"/>
      <c r="AL29" s="61"/>
      <c r="AM29" s="61"/>
      <c r="AN29" s="62"/>
    </row>
    <row r="30" spans="1:40" ht="15" customHeight="1">
      <c r="A30" s="63"/>
      <c r="B30" s="63"/>
      <c r="C30" s="177"/>
      <c r="D30" s="177"/>
      <c r="E30" s="176"/>
      <c r="F30" s="176"/>
      <c r="G30" s="176"/>
      <c r="H30" s="176"/>
      <c r="I30" s="176"/>
      <c r="J30" s="176"/>
      <c r="K30" s="176"/>
      <c r="L30" s="176"/>
      <c r="M30" s="566"/>
      <c r="N30" s="567"/>
      <c r="O30" s="567"/>
      <c r="P30" s="567"/>
      <c r="Q30" s="567"/>
      <c r="R30" s="567"/>
      <c r="S30" s="568"/>
      <c r="T30" s="575"/>
      <c r="U30" s="576"/>
      <c r="V30" s="576"/>
      <c r="W30" s="576"/>
      <c r="X30" s="576"/>
      <c r="Y30" s="576"/>
      <c r="Z30" s="577"/>
      <c r="AA30" s="58"/>
      <c r="AB30" s="59"/>
      <c r="AC30" s="176"/>
      <c r="AD30" s="176"/>
      <c r="AE30" s="176"/>
      <c r="AF30" s="176"/>
      <c r="AG30" s="176"/>
      <c r="AH30" s="176"/>
      <c r="AI30" s="176"/>
      <c r="AJ30" s="176"/>
      <c r="AK30" s="176"/>
      <c r="AL30" s="61"/>
      <c r="AM30" s="61"/>
      <c r="AN30" s="62"/>
    </row>
    <row r="31" spans="1:40" ht="15" customHeight="1">
      <c r="A31" s="63"/>
      <c r="B31" s="63"/>
      <c r="C31" s="177"/>
      <c r="D31" s="177"/>
      <c r="E31" s="176"/>
      <c r="F31" s="176"/>
      <c r="G31" s="176"/>
      <c r="H31" s="176"/>
      <c r="I31" s="176"/>
      <c r="J31" s="176"/>
      <c r="K31" s="176"/>
      <c r="L31" s="176"/>
      <c r="M31" s="569"/>
      <c r="N31" s="570"/>
      <c r="O31" s="570"/>
      <c r="P31" s="570"/>
      <c r="Q31" s="570"/>
      <c r="R31" s="570"/>
      <c r="S31" s="571"/>
      <c r="T31" s="578"/>
      <c r="U31" s="579"/>
      <c r="V31" s="579"/>
      <c r="W31" s="579"/>
      <c r="X31" s="579"/>
      <c r="Y31" s="579"/>
      <c r="Z31" s="580"/>
      <c r="AA31" s="58"/>
      <c r="AB31" s="59"/>
      <c r="AC31" s="176"/>
      <c r="AD31" s="176"/>
      <c r="AE31" s="176"/>
      <c r="AF31" s="176"/>
      <c r="AG31" s="176"/>
      <c r="AH31" s="176"/>
      <c r="AI31" s="176"/>
      <c r="AJ31" s="176"/>
      <c r="AK31" s="176"/>
      <c r="AL31" s="61"/>
      <c r="AM31" s="61"/>
      <c r="AN31" s="62"/>
    </row>
    <row r="32" spans="1:40" ht="15" customHeight="1">
      <c r="A32" s="63"/>
      <c r="B32" s="63"/>
      <c r="C32" s="177"/>
      <c r="D32" s="177"/>
      <c r="E32" s="176"/>
      <c r="F32" s="176"/>
      <c r="G32" s="176"/>
      <c r="H32" s="176"/>
      <c r="I32" s="176"/>
      <c r="J32" s="176"/>
      <c r="K32" s="176"/>
      <c r="L32" s="176"/>
      <c r="M32" s="617">
        <f>ROUNDUP(AC21-AC13,0)</f>
        <v>-751</v>
      </c>
      <c r="N32" s="618"/>
      <c r="O32" s="618"/>
      <c r="P32" s="618"/>
      <c r="Q32" s="618"/>
      <c r="R32" s="109"/>
      <c r="S32" s="129"/>
      <c r="T32" s="621">
        <f>ROUNDUP(M32/Q21,0)</f>
        <v>-12</v>
      </c>
      <c r="U32" s="618"/>
      <c r="V32" s="618"/>
      <c r="W32" s="618"/>
      <c r="X32" s="618"/>
      <c r="Y32" s="109"/>
      <c r="Z32" s="110"/>
      <c r="AA32" s="58"/>
      <c r="AB32" s="59"/>
      <c r="AC32" s="176"/>
      <c r="AD32" s="176"/>
      <c r="AE32" s="176"/>
      <c r="AF32" s="176"/>
      <c r="AG32" s="176"/>
      <c r="AH32" s="176"/>
      <c r="AI32" s="176"/>
      <c r="AJ32" s="176"/>
      <c r="AK32" s="176"/>
      <c r="AL32" s="61"/>
      <c r="AM32" s="61"/>
      <c r="AN32" s="62"/>
    </row>
    <row r="33" spans="1:40" ht="15" customHeight="1" thickBot="1">
      <c r="A33" s="63"/>
      <c r="B33" s="63"/>
      <c r="C33" s="177"/>
      <c r="D33" s="177"/>
      <c r="E33" s="176"/>
      <c r="F33" s="176"/>
      <c r="G33" s="176"/>
      <c r="H33" s="176"/>
      <c r="I33" s="176"/>
      <c r="J33" s="176"/>
      <c r="K33" s="176"/>
      <c r="L33" s="176"/>
      <c r="M33" s="619"/>
      <c r="N33" s="620"/>
      <c r="O33" s="620"/>
      <c r="P33" s="620"/>
      <c r="Q33" s="620"/>
      <c r="R33" s="623" t="s">
        <v>38</v>
      </c>
      <c r="S33" s="624"/>
      <c r="T33" s="622"/>
      <c r="U33" s="620"/>
      <c r="V33" s="620"/>
      <c r="W33" s="620"/>
      <c r="X33" s="620"/>
      <c r="Y33" s="627" t="s">
        <v>41</v>
      </c>
      <c r="Z33" s="628"/>
      <c r="AA33" s="58"/>
      <c r="AB33" s="59"/>
      <c r="AC33" s="176"/>
      <c r="AD33" s="176"/>
      <c r="AE33" s="176"/>
      <c r="AF33" s="176"/>
      <c r="AG33" s="176"/>
      <c r="AH33" s="176"/>
      <c r="AI33" s="176"/>
      <c r="AJ33" s="176"/>
      <c r="AK33" s="176"/>
      <c r="AL33" s="61"/>
      <c r="AM33" s="61"/>
      <c r="AN33" s="62"/>
    </row>
    <row r="34" spans="1:40" ht="15" customHeight="1">
      <c r="A34" s="63"/>
      <c r="B34" s="63"/>
      <c r="C34" s="177"/>
      <c r="D34" s="177"/>
      <c r="E34" s="179"/>
      <c r="F34" s="179"/>
      <c r="G34" s="179"/>
      <c r="H34" s="179"/>
      <c r="I34" s="179"/>
      <c r="J34" s="179"/>
      <c r="K34" s="179"/>
      <c r="L34" s="179"/>
      <c r="M34" s="183"/>
      <c r="N34" s="183"/>
      <c r="O34" s="183"/>
      <c r="P34" s="183"/>
      <c r="Q34" s="183"/>
      <c r="R34" s="184"/>
      <c r="S34" s="184"/>
      <c r="T34" s="183"/>
      <c r="U34" s="183"/>
      <c r="V34" s="183"/>
      <c r="W34" s="183"/>
      <c r="X34" s="183"/>
      <c r="Y34" s="185"/>
      <c r="Z34" s="185"/>
      <c r="AA34" s="58"/>
      <c r="AB34" s="59"/>
      <c r="AC34" s="179"/>
      <c r="AD34" s="179"/>
      <c r="AE34" s="179"/>
      <c r="AF34" s="179"/>
      <c r="AG34" s="179"/>
      <c r="AH34" s="179"/>
      <c r="AI34" s="179"/>
      <c r="AJ34" s="179"/>
      <c r="AK34" s="179"/>
      <c r="AL34" s="61"/>
      <c r="AM34" s="61"/>
      <c r="AN34" s="62"/>
    </row>
    <row r="35" spans="1:40" ht="15" customHeight="1">
      <c r="A35" s="63"/>
      <c r="B35" s="63"/>
      <c r="C35" s="177"/>
      <c r="D35" s="177"/>
      <c r="E35" s="179"/>
      <c r="F35" s="179"/>
      <c r="G35" s="179"/>
      <c r="H35" s="179"/>
      <c r="I35" s="179"/>
      <c r="J35" s="179"/>
      <c r="K35" s="179"/>
      <c r="L35" s="179"/>
      <c r="M35" s="183"/>
      <c r="N35" s="183"/>
      <c r="O35" s="183"/>
      <c r="P35" s="183"/>
      <c r="Q35" s="183"/>
      <c r="R35" s="184"/>
      <c r="S35" s="184"/>
      <c r="T35" s="183"/>
      <c r="U35" s="183"/>
      <c r="V35" s="183"/>
      <c r="W35" s="183"/>
      <c r="X35" s="183"/>
      <c r="Y35" s="185"/>
      <c r="Z35" s="185"/>
      <c r="AA35" s="58"/>
      <c r="AB35" s="59"/>
      <c r="AC35" s="179"/>
      <c r="AD35" s="179"/>
      <c r="AE35" s="179"/>
      <c r="AF35" s="179"/>
      <c r="AG35" s="179"/>
      <c r="AH35" s="179"/>
      <c r="AI35" s="179"/>
      <c r="AJ35" s="179"/>
      <c r="AK35" s="179"/>
      <c r="AL35" s="61"/>
      <c r="AM35" s="61"/>
      <c r="AN35" s="62"/>
    </row>
    <row r="36" spans="1:40" ht="18.75" customHeight="1" thickBot="1">
      <c r="A36" s="66"/>
      <c r="B36" s="66"/>
      <c r="C36" s="67"/>
      <c r="D36" s="67"/>
      <c r="E36" s="95"/>
      <c r="F36" s="95"/>
      <c r="G36" s="95"/>
      <c r="H36" s="95"/>
      <c r="I36" s="95"/>
      <c r="J36" s="95"/>
      <c r="K36" s="95"/>
      <c r="L36" s="95"/>
      <c r="M36" s="95"/>
      <c r="N36" s="111"/>
      <c r="O36" s="111"/>
      <c r="P36" s="115"/>
      <c r="Q36" s="95"/>
      <c r="R36" s="95"/>
      <c r="S36" s="95"/>
      <c r="T36" s="95"/>
      <c r="U36" s="95"/>
      <c r="V36" s="95"/>
      <c r="W36" s="95"/>
      <c r="X36" s="95"/>
      <c r="Y36" s="95"/>
      <c r="Z36" s="111"/>
      <c r="AA36" s="111"/>
      <c r="AB36" s="115"/>
      <c r="AC36" s="95"/>
      <c r="AD36" s="95"/>
      <c r="AE36" s="95"/>
      <c r="AF36" s="95"/>
      <c r="AG36" s="95"/>
      <c r="AH36" s="95"/>
      <c r="AI36" s="95"/>
      <c r="AJ36" s="95"/>
      <c r="AK36" s="95"/>
      <c r="AL36" s="113"/>
      <c r="AM36" s="113"/>
      <c r="AN36" s="116"/>
    </row>
    <row r="37" spans="1:40" ht="18.75" customHeight="1">
      <c r="A37" s="510" t="s">
        <v>44</v>
      </c>
      <c r="B37" s="511"/>
      <c r="C37" s="516" t="s">
        <v>123</v>
      </c>
      <c r="D37" s="517"/>
      <c r="E37" s="635" t="s">
        <v>32</v>
      </c>
      <c r="F37" s="636"/>
      <c r="G37" s="636"/>
      <c r="H37" s="636"/>
      <c r="I37" s="636"/>
      <c r="J37" s="636"/>
      <c r="K37" s="636"/>
      <c r="L37" s="636"/>
      <c r="M37" s="636"/>
      <c r="N37" s="636"/>
      <c r="O37" s="636"/>
      <c r="P37" s="636"/>
      <c r="Q37" s="636"/>
      <c r="R37" s="636"/>
      <c r="S37" s="636"/>
      <c r="T37" s="637"/>
      <c r="U37" s="595" t="s">
        <v>45</v>
      </c>
      <c r="V37" s="525"/>
      <c r="W37" s="525"/>
      <c r="X37" s="525"/>
      <c r="Y37" s="525"/>
      <c r="Z37" s="525"/>
      <c r="AA37" s="525"/>
      <c r="AB37" s="526"/>
      <c r="AC37" s="583" t="s">
        <v>125</v>
      </c>
      <c r="AD37" s="525"/>
      <c r="AE37" s="525"/>
      <c r="AF37" s="525"/>
      <c r="AG37" s="525"/>
      <c r="AH37" s="525"/>
      <c r="AI37" s="525"/>
      <c r="AJ37" s="525"/>
      <c r="AK37" s="525"/>
      <c r="AL37" s="525"/>
      <c r="AM37" s="525"/>
      <c r="AN37" s="530"/>
    </row>
    <row r="38" spans="1:40" ht="18.75" customHeight="1">
      <c r="A38" s="512"/>
      <c r="B38" s="513"/>
      <c r="C38" s="518"/>
      <c r="D38" s="519"/>
      <c r="E38" s="596" t="s">
        <v>46</v>
      </c>
      <c r="F38" s="597"/>
      <c r="G38" s="597"/>
      <c r="H38" s="597"/>
      <c r="I38" s="597"/>
      <c r="J38" s="597"/>
      <c r="K38" s="597"/>
      <c r="L38" s="597"/>
      <c r="M38" s="640" t="s">
        <v>47</v>
      </c>
      <c r="N38" s="640"/>
      <c r="O38" s="640"/>
      <c r="P38" s="640"/>
      <c r="Q38" s="640"/>
      <c r="R38" s="640"/>
      <c r="S38" s="640"/>
      <c r="T38" s="641"/>
      <c r="U38" s="528"/>
      <c r="V38" s="528"/>
      <c r="W38" s="528"/>
      <c r="X38" s="528"/>
      <c r="Y38" s="528"/>
      <c r="Z38" s="528"/>
      <c r="AA38" s="528"/>
      <c r="AB38" s="529"/>
      <c r="AC38" s="527"/>
      <c r="AD38" s="528"/>
      <c r="AE38" s="528"/>
      <c r="AF38" s="528"/>
      <c r="AG38" s="528"/>
      <c r="AH38" s="528"/>
      <c r="AI38" s="528"/>
      <c r="AJ38" s="528"/>
      <c r="AK38" s="528"/>
      <c r="AL38" s="528"/>
      <c r="AM38" s="528"/>
      <c r="AN38" s="531"/>
    </row>
    <row r="39" spans="1:40" ht="18.75" customHeight="1">
      <c r="A39" s="512"/>
      <c r="B39" s="513"/>
      <c r="C39" s="518"/>
      <c r="D39" s="519"/>
      <c r="E39" s="642" t="s">
        <v>127</v>
      </c>
      <c r="F39" s="643"/>
      <c r="G39" s="643"/>
      <c r="H39" s="643"/>
      <c r="I39" s="643"/>
      <c r="J39" s="643"/>
      <c r="K39" s="643"/>
      <c r="L39" s="644"/>
      <c r="M39" s="650" t="s">
        <v>126</v>
      </c>
      <c r="N39" s="651"/>
      <c r="O39" s="651"/>
      <c r="P39" s="651"/>
      <c r="Q39" s="651"/>
      <c r="R39" s="651"/>
      <c r="S39" s="651"/>
      <c r="T39" s="652"/>
      <c r="U39" s="557" t="s">
        <v>110</v>
      </c>
      <c r="V39" s="541"/>
      <c r="W39" s="541"/>
      <c r="X39" s="541"/>
      <c r="Y39" s="541"/>
      <c r="Z39" s="541"/>
      <c r="AA39" s="541"/>
      <c r="AB39" s="542"/>
      <c r="AC39" s="540" t="s">
        <v>35</v>
      </c>
      <c r="AD39" s="541"/>
      <c r="AE39" s="541"/>
      <c r="AF39" s="541"/>
      <c r="AG39" s="541"/>
      <c r="AH39" s="541"/>
      <c r="AI39" s="541"/>
      <c r="AJ39" s="541"/>
      <c r="AK39" s="541"/>
      <c r="AL39" s="541"/>
      <c r="AM39" s="541"/>
      <c r="AN39" s="549"/>
    </row>
    <row r="40" spans="1:40" ht="18.75" customHeight="1">
      <c r="A40" s="512"/>
      <c r="B40" s="513"/>
      <c r="C40" s="520"/>
      <c r="D40" s="519"/>
      <c r="E40" s="645"/>
      <c r="F40" s="646"/>
      <c r="G40" s="646"/>
      <c r="H40" s="646"/>
      <c r="I40" s="646"/>
      <c r="J40" s="646"/>
      <c r="K40" s="646"/>
      <c r="L40" s="647"/>
      <c r="M40" s="653"/>
      <c r="N40" s="654"/>
      <c r="O40" s="654"/>
      <c r="P40" s="654"/>
      <c r="Q40" s="654"/>
      <c r="R40" s="654"/>
      <c r="S40" s="654"/>
      <c r="T40" s="655"/>
      <c r="U40" s="543"/>
      <c r="V40" s="544"/>
      <c r="W40" s="544"/>
      <c r="X40" s="544"/>
      <c r="Y40" s="544"/>
      <c r="Z40" s="544"/>
      <c r="AA40" s="544"/>
      <c r="AB40" s="545"/>
      <c r="AC40" s="543"/>
      <c r="AD40" s="544"/>
      <c r="AE40" s="544"/>
      <c r="AF40" s="544"/>
      <c r="AG40" s="544"/>
      <c r="AH40" s="544"/>
      <c r="AI40" s="544"/>
      <c r="AJ40" s="544"/>
      <c r="AK40" s="544"/>
      <c r="AL40" s="544"/>
      <c r="AM40" s="544"/>
      <c r="AN40" s="550"/>
    </row>
    <row r="41" spans="1:40" ht="18.75" customHeight="1">
      <c r="A41" s="512"/>
      <c r="B41" s="513"/>
      <c r="C41" s="520"/>
      <c r="D41" s="519"/>
      <c r="E41" s="645"/>
      <c r="F41" s="646"/>
      <c r="G41" s="646"/>
      <c r="H41" s="646"/>
      <c r="I41" s="646"/>
      <c r="J41" s="646"/>
      <c r="K41" s="646"/>
      <c r="L41" s="647"/>
      <c r="M41" s="653"/>
      <c r="N41" s="654"/>
      <c r="O41" s="654"/>
      <c r="P41" s="654"/>
      <c r="Q41" s="654"/>
      <c r="R41" s="654"/>
      <c r="S41" s="654"/>
      <c r="T41" s="655"/>
      <c r="U41" s="543"/>
      <c r="V41" s="544"/>
      <c r="W41" s="544"/>
      <c r="X41" s="544"/>
      <c r="Y41" s="544"/>
      <c r="Z41" s="544"/>
      <c r="AA41" s="544"/>
      <c r="AB41" s="545"/>
      <c r="AC41" s="543"/>
      <c r="AD41" s="544"/>
      <c r="AE41" s="544"/>
      <c r="AF41" s="544"/>
      <c r="AG41" s="544"/>
      <c r="AH41" s="544"/>
      <c r="AI41" s="544"/>
      <c r="AJ41" s="544"/>
      <c r="AK41" s="544"/>
      <c r="AL41" s="544"/>
      <c r="AM41" s="544"/>
      <c r="AN41" s="550"/>
    </row>
    <row r="42" spans="1:40" ht="18.75" customHeight="1" thickBot="1">
      <c r="A42" s="512"/>
      <c r="B42" s="513"/>
      <c r="C42" s="520"/>
      <c r="D42" s="519"/>
      <c r="E42" s="645"/>
      <c r="F42" s="646"/>
      <c r="G42" s="646"/>
      <c r="H42" s="646"/>
      <c r="I42" s="646"/>
      <c r="J42" s="646"/>
      <c r="K42" s="648"/>
      <c r="L42" s="649"/>
      <c r="M42" s="653"/>
      <c r="N42" s="654"/>
      <c r="O42" s="654"/>
      <c r="P42" s="654"/>
      <c r="Q42" s="654"/>
      <c r="R42" s="654"/>
      <c r="S42" s="656"/>
      <c r="T42" s="657"/>
      <c r="U42" s="543"/>
      <c r="V42" s="544"/>
      <c r="W42" s="544"/>
      <c r="X42" s="544"/>
      <c r="Y42" s="544"/>
      <c r="Z42" s="544"/>
      <c r="AA42" s="544"/>
      <c r="AB42" s="545"/>
      <c r="AC42" s="543"/>
      <c r="AD42" s="544"/>
      <c r="AE42" s="544"/>
      <c r="AF42" s="544"/>
      <c r="AG42" s="544"/>
      <c r="AH42" s="544"/>
      <c r="AI42" s="544"/>
      <c r="AJ42" s="544"/>
      <c r="AK42" s="544"/>
      <c r="AL42" s="544"/>
      <c r="AM42" s="544"/>
      <c r="AN42" s="550"/>
    </row>
    <row r="43" spans="1:40" ht="18.75" customHeight="1" thickTop="1">
      <c r="A43" s="512"/>
      <c r="B43" s="513"/>
      <c r="C43" s="520"/>
      <c r="D43" s="521"/>
      <c r="E43" s="589">
        <f>需要・供給量試算シミュレーション!R9</f>
        <v>11755</v>
      </c>
      <c r="F43" s="590"/>
      <c r="G43" s="590"/>
      <c r="H43" s="590"/>
      <c r="I43" s="590"/>
      <c r="J43" s="591"/>
      <c r="K43" s="117"/>
      <c r="L43" s="117"/>
      <c r="M43" s="589">
        <f>需要・供給量試算シミュレーション!R10</f>
        <v>2092</v>
      </c>
      <c r="N43" s="590"/>
      <c r="O43" s="590"/>
      <c r="P43" s="590"/>
      <c r="Q43" s="590"/>
      <c r="R43" s="591"/>
      <c r="S43" s="61"/>
      <c r="T43" s="106"/>
      <c r="U43" s="543"/>
      <c r="V43" s="544"/>
      <c r="W43" s="544"/>
      <c r="X43" s="544"/>
      <c r="Y43" s="544"/>
      <c r="Z43" s="544"/>
      <c r="AA43" s="544"/>
      <c r="AB43" s="545"/>
      <c r="AC43" s="543"/>
      <c r="AD43" s="544"/>
      <c r="AE43" s="544"/>
      <c r="AF43" s="544"/>
      <c r="AG43" s="544"/>
      <c r="AH43" s="544"/>
      <c r="AI43" s="544"/>
      <c r="AJ43" s="544"/>
      <c r="AK43" s="544"/>
      <c r="AL43" s="544"/>
      <c r="AM43" s="544"/>
      <c r="AN43" s="550"/>
    </row>
    <row r="44" spans="1:40" ht="18.75" customHeight="1" thickBot="1">
      <c r="A44" s="512"/>
      <c r="B44" s="513"/>
      <c r="C44" s="520"/>
      <c r="D44" s="521"/>
      <c r="E44" s="592"/>
      <c r="F44" s="593"/>
      <c r="G44" s="593"/>
      <c r="H44" s="593"/>
      <c r="I44" s="593"/>
      <c r="J44" s="594"/>
      <c r="K44" s="625" t="s">
        <v>48</v>
      </c>
      <c r="L44" s="625"/>
      <c r="M44" s="592"/>
      <c r="N44" s="593"/>
      <c r="O44" s="593"/>
      <c r="P44" s="593"/>
      <c r="Q44" s="593"/>
      <c r="R44" s="594"/>
      <c r="S44" s="625" t="s">
        <v>48</v>
      </c>
      <c r="T44" s="626"/>
      <c r="U44" s="546"/>
      <c r="V44" s="547"/>
      <c r="W44" s="547"/>
      <c r="X44" s="547"/>
      <c r="Y44" s="547"/>
      <c r="Z44" s="547"/>
      <c r="AA44" s="547"/>
      <c r="AB44" s="548"/>
      <c r="AC44" s="546"/>
      <c r="AD44" s="547"/>
      <c r="AE44" s="547"/>
      <c r="AF44" s="547"/>
      <c r="AG44" s="547"/>
      <c r="AH44" s="547"/>
      <c r="AI44" s="547"/>
      <c r="AJ44" s="547"/>
      <c r="AK44" s="547"/>
      <c r="AL44" s="547"/>
      <c r="AM44" s="547"/>
      <c r="AN44" s="551"/>
    </row>
    <row r="45" spans="1:40" ht="18.75" customHeight="1" thickTop="1">
      <c r="A45" s="512"/>
      <c r="B45" s="513"/>
      <c r="C45" s="520"/>
      <c r="D45" s="519"/>
      <c r="E45" s="598" t="s">
        <v>49</v>
      </c>
      <c r="F45" s="599"/>
      <c r="G45" s="602">
        <f>E43+M43</f>
        <v>13847</v>
      </c>
      <c r="H45" s="602"/>
      <c r="I45" s="602"/>
      <c r="J45" s="602"/>
      <c r="K45" s="603"/>
      <c r="L45" s="603"/>
      <c r="M45" s="602"/>
      <c r="N45" s="602"/>
      <c r="O45" s="602"/>
      <c r="P45" s="602"/>
      <c r="Q45" s="602"/>
      <c r="R45" s="602"/>
      <c r="S45" s="107"/>
      <c r="T45" s="108"/>
      <c r="U45" s="584">
        <v>1.78</v>
      </c>
      <c r="V45" s="585"/>
      <c r="W45" s="585"/>
      <c r="X45" s="585"/>
      <c r="Y45" s="585"/>
      <c r="Z45" s="585"/>
      <c r="AA45" s="107"/>
      <c r="AB45" s="108"/>
      <c r="AC45" s="559">
        <f>G45*U45</f>
        <v>24647.66</v>
      </c>
      <c r="AD45" s="560"/>
      <c r="AE45" s="560"/>
      <c r="AF45" s="560"/>
      <c r="AG45" s="560"/>
      <c r="AH45" s="560"/>
      <c r="AI45" s="560"/>
      <c r="AJ45" s="560"/>
      <c r="AK45" s="560"/>
      <c r="AL45" s="109"/>
      <c r="AM45" s="109"/>
      <c r="AN45" s="110"/>
    </row>
    <row r="46" spans="1:40" ht="18.75" customHeight="1" thickBot="1">
      <c r="A46" s="512"/>
      <c r="B46" s="513"/>
      <c r="C46" s="522"/>
      <c r="D46" s="588"/>
      <c r="E46" s="600"/>
      <c r="F46" s="601"/>
      <c r="G46" s="604"/>
      <c r="H46" s="604"/>
      <c r="I46" s="604"/>
      <c r="J46" s="604"/>
      <c r="K46" s="604"/>
      <c r="L46" s="604"/>
      <c r="M46" s="604"/>
      <c r="N46" s="604"/>
      <c r="O46" s="604"/>
      <c r="P46" s="604"/>
      <c r="Q46" s="604"/>
      <c r="R46" s="604"/>
      <c r="S46" s="605" t="s">
        <v>48</v>
      </c>
      <c r="T46" s="606"/>
      <c r="U46" s="586"/>
      <c r="V46" s="587"/>
      <c r="W46" s="587"/>
      <c r="X46" s="587"/>
      <c r="Y46" s="587"/>
      <c r="Z46" s="587"/>
      <c r="AA46" s="605" t="s">
        <v>38</v>
      </c>
      <c r="AB46" s="606"/>
      <c r="AC46" s="561"/>
      <c r="AD46" s="562"/>
      <c r="AE46" s="562"/>
      <c r="AF46" s="562"/>
      <c r="AG46" s="562"/>
      <c r="AH46" s="562"/>
      <c r="AI46" s="562"/>
      <c r="AJ46" s="562"/>
      <c r="AK46" s="562"/>
      <c r="AL46" s="113"/>
      <c r="AM46" s="113"/>
      <c r="AN46" s="114" t="s">
        <v>38</v>
      </c>
    </row>
    <row r="47" spans="1:40" ht="18.75" customHeight="1">
      <c r="A47" s="512"/>
      <c r="B47" s="513"/>
      <c r="C47" s="516" t="s">
        <v>132</v>
      </c>
      <c r="D47" s="552"/>
      <c r="E47" s="581" t="s">
        <v>106</v>
      </c>
      <c r="F47" s="544"/>
      <c r="G47" s="544"/>
      <c r="H47" s="544"/>
      <c r="I47" s="544"/>
      <c r="J47" s="544"/>
      <c r="K47" s="544"/>
      <c r="L47" s="544"/>
      <c r="M47" s="544"/>
      <c r="N47" s="525"/>
      <c r="O47" s="525"/>
      <c r="P47" s="526"/>
      <c r="Q47" s="582" t="s">
        <v>39</v>
      </c>
      <c r="R47" s="525"/>
      <c r="S47" s="525"/>
      <c r="T47" s="525"/>
      <c r="U47" s="525"/>
      <c r="V47" s="525"/>
      <c r="W47" s="525"/>
      <c r="X47" s="525"/>
      <c r="Y47" s="525"/>
      <c r="Z47" s="525"/>
      <c r="AA47" s="525"/>
      <c r="AB47" s="526"/>
      <c r="AC47" s="583" t="s">
        <v>120</v>
      </c>
      <c r="AD47" s="525"/>
      <c r="AE47" s="525"/>
      <c r="AF47" s="525"/>
      <c r="AG47" s="525"/>
      <c r="AH47" s="525"/>
      <c r="AI47" s="525"/>
      <c r="AJ47" s="525"/>
      <c r="AK47" s="525"/>
      <c r="AL47" s="525"/>
      <c r="AM47" s="525"/>
      <c r="AN47" s="530"/>
    </row>
    <row r="48" spans="1:40" ht="18.75" customHeight="1">
      <c r="A48" s="512"/>
      <c r="B48" s="513"/>
      <c r="C48" s="518"/>
      <c r="D48" s="553"/>
      <c r="E48" s="527"/>
      <c r="F48" s="528"/>
      <c r="G48" s="528"/>
      <c r="H48" s="528"/>
      <c r="I48" s="528"/>
      <c r="J48" s="528"/>
      <c r="K48" s="528"/>
      <c r="L48" s="528"/>
      <c r="M48" s="528"/>
      <c r="N48" s="528"/>
      <c r="O48" s="528"/>
      <c r="P48" s="529"/>
      <c r="Q48" s="527"/>
      <c r="R48" s="528"/>
      <c r="S48" s="528"/>
      <c r="T48" s="528"/>
      <c r="U48" s="528"/>
      <c r="V48" s="528"/>
      <c r="W48" s="528"/>
      <c r="X48" s="528"/>
      <c r="Y48" s="528"/>
      <c r="Z48" s="528"/>
      <c r="AA48" s="528"/>
      <c r="AB48" s="529"/>
      <c r="AC48" s="527"/>
      <c r="AD48" s="528"/>
      <c r="AE48" s="528"/>
      <c r="AF48" s="528"/>
      <c r="AG48" s="528"/>
      <c r="AH48" s="528"/>
      <c r="AI48" s="528"/>
      <c r="AJ48" s="528"/>
      <c r="AK48" s="528"/>
      <c r="AL48" s="528"/>
      <c r="AM48" s="528"/>
      <c r="AN48" s="531"/>
    </row>
    <row r="49" spans="1:40" ht="18.75" customHeight="1">
      <c r="A49" s="512"/>
      <c r="B49" s="513"/>
      <c r="C49" s="518"/>
      <c r="D49" s="553"/>
      <c r="E49" s="558" t="s">
        <v>128</v>
      </c>
      <c r="F49" s="686"/>
      <c r="G49" s="686"/>
      <c r="H49" s="686"/>
      <c r="I49" s="686"/>
      <c r="J49" s="686"/>
      <c r="K49" s="686"/>
      <c r="L49" s="686"/>
      <c r="M49" s="686"/>
      <c r="N49" s="686"/>
      <c r="O49" s="686"/>
      <c r="P49" s="687"/>
      <c r="Q49" s="693" t="s">
        <v>111</v>
      </c>
      <c r="R49" s="694"/>
      <c r="S49" s="694"/>
      <c r="T49" s="694"/>
      <c r="U49" s="694"/>
      <c r="V49" s="694"/>
      <c r="W49" s="694"/>
      <c r="X49" s="694"/>
      <c r="Y49" s="694"/>
      <c r="Z49" s="694"/>
      <c r="AA49" s="694"/>
      <c r="AB49" s="695"/>
      <c r="AC49" s="558" t="s">
        <v>129</v>
      </c>
      <c r="AD49" s="686"/>
      <c r="AE49" s="686"/>
      <c r="AF49" s="686"/>
      <c r="AG49" s="686"/>
      <c r="AH49" s="686"/>
      <c r="AI49" s="686"/>
      <c r="AJ49" s="686"/>
      <c r="AK49" s="686"/>
      <c r="AL49" s="686"/>
      <c r="AM49" s="686"/>
      <c r="AN49" s="702"/>
    </row>
    <row r="50" spans="1:40" ht="18.75" customHeight="1">
      <c r="A50" s="512"/>
      <c r="B50" s="513"/>
      <c r="C50" s="518"/>
      <c r="D50" s="553"/>
      <c r="E50" s="688"/>
      <c r="F50" s="689"/>
      <c r="G50" s="689"/>
      <c r="H50" s="689"/>
      <c r="I50" s="689"/>
      <c r="J50" s="689"/>
      <c r="K50" s="689"/>
      <c r="L50" s="689"/>
      <c r="M50" s="689"/>
      <c r="N50" s="689"/>
      <c r="O50" s="689"/>
      <c r="P50" s="690"/>
      <c r="Q50" s="696"/>
      <c r="R50" s="697"/>
      <c r="S50" s="697"/>
      <c r="T50" s="697"/>
      <c r="U50" s="697"/>
      <c r="V50" s="697"/>
      <c r="W50" s="697"/>
      <c r="X50" s="697"/>
      <c r="Y50" s="697"/>
      <c r="Z50" s="697"/>
      <c r="AA50" s="697"/>
      <c r="AB50" s="698"/>
      <c r="AC50" s="688"/>
      <c r="AD50" s="689"/>
      <c r="AE50" s="689"/>
      <c r="AF50" s="689"/>
      <c r="AG50" s="689"/>
      <c r="AH50" s="689"/>
      <c r="AI50" s="689"/>
      <c r="AJ50" s="689"/>
      <c r="AK50" s="689"/>
      <c r="AL50" s="689"/>
      <c r="AM50" s="689"/>
      <c r="AN50" s="703"/>
    </row>
    <row r="51" spans="1:40" ht="18.75" customHeight="1">
      <c r="A51" s="512"/>
      <c r="B51" s="513"/>
      <c r="C51" s="518"/>
      <c r="D51" s="553"/>
      <c r="E51" s="688"/>
      <c r="F51" s="689"/>
      <c r="G51" s="689"/>
      <c r="H51" s="689"/>
      <c r="I51" s="689"/>
      <c r="J51" s="689"/>
      <c r="K51" s="689"/>
      <c r="L51" s="689"/>
      <c r="M51" s="689"/>
      <c r="N51" s="689"/>
      <c r="O51" s="689"/>
      <c r="P51" s="690"/>
      <c r="Q51" s="696"/>
      <c r="R51" s="697"/>
      <c r="S51" s="697"/>
      <c r="T51" s="697"/>
      <c r="U51" s="697"/>
      <c r="V51" s="697"/>
      <c r="W51" s="697"/>
      <c r="X51" s="697"/>
      <c r="Y51" s="697"/>
      <c r="Z51" s="697"/>
      <c r="AA51" s="697"/>
      <c r="AB51" s="698"/>
      <c r="AC51" s="688"/>
      <c r="AD51" s="689"/>
      <c r="AE51" s="689"/>
      <c r="AF51" s="689"/>
      <c r="AG51" s="689"/>
      <c r="AH51" s="689"/>
      <c r="AI51" s="689"/>
      <c r="AJ51" s="689"/>
      <c r="AK51" s="689"/>
      <c r="AL51" s="689"/>
      <c r="AM51" s="689"/>
      <c r="AN51" s="703"/>
    </row>
    <row r="52" spans="1:40" ht="18.75" customHeight="1" thickBot="1">
      <c r="A52" s="512"/>
      <c r="B52" s="513"/>
      <c r="C52" s="518"/>
      <c r="D52" s="553"/>
      <c r="E52" s="688"/>
      <c r="F52" s="689"/>
      <c r="G52" s="689"/>
      <c r="H52" s="689"/>
      <c r="I52" s="689"/>
      <c r="J52" s="689"/>
      <c r="K52" s="689"/>
      <c r="L52" s="689"/>
      <c r="M52" s="689"/>
      <c r="N52" s="691"/>
      <c r="O52" s="691"/>
      <c r="P52" s="692"/>
      <c r="Q52" s="699"/>
      <c r="R52" s="700"/>
      <c r="S52" s="700"/>
      <c r="T52" s="700"/>
      <c r="U52" s="700"/>
      <c r="V52" s="700"/>
      <c r="W52" s="700"/>
      <c r="X52" s="700"/>
      <c r="Y52" s="700"/>
      <c r="Z52" s="700"/>
      <c r="AA52" s="700"/>
      <c r="AB52" s="701"/>
      <c r="AC52" s="704"/>
      <c r="AD52" s="691"/>
      <c r="AE52" s="691"/>
      <c r="AF52" s="691"/>
      <c r="AG52" s="691"/>
      <c r="AH52" s="691"/>
      <c r="AI52" s="691"/>
      <c r="AJ52" s="691"/>
      <c r="AK52" s="691"/>
      <c r="AL52" s="691"/>
      <c r="AM52" s="691"/>
      <c r="AN52" s="705"/>
    </row>
    <row r="53" spans="1:40" ht="18.75" customHeight="1" thickTop="1">
      <c r="A53" s="512"/>
      <c r="B53" s="513"/>
      <c r="C53" s="518"/>
      <c r="D53" s="554"/>
      <c r="E53" s="589">
        <f>需要・供給量試算シミュレーション!R13</f>
        <v>493.34677906360935</v>
      </c>
      <c r="F53" s="590"/>
      <c r="G53" s="590"/>
      <c r="H53" s="590"/>
      <c r="I53" s="590"/>
      <c r="J53" s="590"/>
      <c r="K53" s="590"/>
      <c r="L53" s="590"/>
      <c r="M53" s="591"/>
      <c r="N53" s="107"/>
      <c r="O53" s="107"/>
      <c r="P53" s="108"/>
      <c r="Q53" s="584">
        <v>49.960111317200003</v>
      </c>
      <c r="R53" s="585"/>
      <c r="S53" s="585"/>
      <c r="T53" s="585"/>
      <c r="U53" s="585"/>
      <c r="V53" s="585"/>
      <c r="W53" s="585"/>
      <c r="X53" s="585"/>
      <c r="Y53" s="585"/>
      <c r="Z53" s="107"/>
      <c r="AA53" s="107"/>
      <c r="AB53" s="108"/>
      <c r="AC53" s="559">
        <f>需要・供給量試算シミュレーション!R15</f>
        <v>24647.66</v>
      </c>
      <c r="AD53" s="560"/>
      <c r="AE53" s="560"/>
      <c r="AF53" s="560"/>
      <c r="AG53" s="560"/>
      <c r="AH53" s="560"/>
      <c r="AI53" s="560"/>
      <c r="AJ53" s="560"/>
      <c r="AK53" s="560"/>
      <c r="AL53" s="109"/>
      <c r="AM53" s="109"/>
      <c r="AN53" s="110"/>
    </row>
    <row r="54" spans="1:40" ht="18.75" customHeight="1" thickBot="1">
      <c r="A54" s="514"/>
      <c r="B54" s="515"/>
      <c r="C54" s="555"/>
      <c r="D54" s="556"/>
      <c r="E54" s="592"/>
      <c r="F54" s="593"/>
      <c r="G54" s="593"/>
      <c r="H54" s="593"/>
      <c r="I54" s="593"/>
      <c r="J54" s="593"/>
      <c r="K54" s="593"/>
      <c r="L54" s="593"/>
      <c r="M54" s="594"/>
      <c r="N54" s="111"/>
      <c r="O54" s="111"/>
      <c r="P54" s="112" t="s">
        <v>42</v>
      </c>
      <c r="Q54" s="586"/>
      <c r="R54" s="587"/>
      <c r="S54" s="587"/>
      <c r="T54" s="587"/>
      <c r="U54" s="587"/>
      <c r="V54" s="587"/>
      <c r="W54" s="587"/>
      <c r="X54" s="587"/>
      <c r="Y54" s="587"/>
      <c r="Z54" s="111"/>
      <c r="AA54" s="111"/>
      <c r="AB54" s="112" t="s">
        <v>38</v>
      </c>
      <c r="AC54" s="561"/>
      <c r="AD54" s="562"/>
      <c r="AE54" s="562"/>
      <c r="AF54" s="562"/>
      <c r="AG54" s="562"/>
      <c r="AH54" s="562"/>
      <c r="AI54" s="562"/>
      <c r="AJ54" s="562"/>
      <c r="AK54" s="562"/>
      <c r="AL54" s="113"/>
      <c r="AM54" s="113"/>
      <c r="AN54" s="114" t="s">
        <v>38</v>
      </c>
    </row>
    <row r="55" spans="1:40" ht="12.75" customHeight="1"/>
    <row r="56" spans="1:40" ht="12.75" customHeight="1" thickBot="1"/>
    <row r="57" spans="1:40" ht="15" customHeight="1">
      <c r="M57" s="607" t="s">
        <v>107</v>
      </c>
      <c r="N57" s="608"/>
      <c r="O57" s="608"/>
      <c r="P57" s="608"/>
      <c r="Q57" s="608"/>
      <c r="R57" s="608"/>
      <c r="S57" s="609"/>
      <c r="T57" s="613" t="s">
        <v>108</v>
      </c>
      <c r="U57" s="608"/>
      <c r="V57" s="608"/>
      <c r="W57" s="608"/>
      <c r="X57" s="608"/>
      <c r="Y57" s="608"/>
      <c r="Z57" s="614"/>
    </row>
    <row r="58" spans="1:40" ht="15" customHeight="1">
      <c r="A58" s="63"/>
      <c r="B58" s="63"/>
      <c r="C58" s="177"/>
      <c r="D58" s="177"/>
      <c r="E58" s="176"/>
      <c r="F58" s="176"/>
      <c r="G58" s="176"/>
      <c r="H58" s="176"/>
      <c r="I58" s="176"/>
      <c r="J58" s="176"/>
      <c r="K58" s="176"/>
      <c r="L58" s="176"/>
      <c r="M58" s="610"/>
      <c r="N58" s="611"/>
      <c r="O58" s="611"/>
      <c r="P58" s="611"/>
      <c r="Q58" s="611"/>
      <c r="R58" s="611"/>
      <c r="S58" s="612"/>
      <c r="T58" s="615"/>
      <c r="U58" s="611"/>
      <c r="V58" s="611"/>
      <c r="W58" s="611"/>
      <c r="X58" s="611"/>
      <c r="Y58" s="611"/>
      <c r="Z58" s="616"/>
      <c r="AA58" s="58"/>
      <c r="AB58" s="59"/>
      <c r="AC58" s="176"/>
      <c r="AD58" s="176"/>
      <c r="AE58" s="176"/>
      <c r="AF58" s="176"/>
      <c r="AG58" s="176"/>
      <c r="AH58" s="176"/>
      <c r="AI58" s="176"/>
      <c r="AJ58" s="176"/>
      <c r="AK58" s="176"/>
      <c r="AL58" s="61"/>
      <c r="AM58" s="61"/>
      <c r="AN58" s="62"/>
    </row>
    <row r="59" spans="1:40" ht="15" customHeight="1">
      <c r="A59" s="63"/>
      <c r="B59" s="63"/>
      <c r="C59" s="177"/>
      <c r="D59" s="177"/>
      <c r="E59" s="176"/>
      <c r="F59" s="176"/>
      <c r="G59" s="176"/>
      <c r="H59" s="176"/>
      <c r="I59" s="176"/>
      <c r="J59" s="176"/>
      <c r="K59" s="176"/>
      <c r="L59" s="176"/>
      <c r="M59" s="563" t="s">
        <v>36</v>
      </c>
      <c r="N59" s="564"/>
      <c r="O59" s="564"/>
      <c r="P59" s="564"/>
      <c r="Q59" s="564"/>
      <c r="R59" s="564"/>
      <c r="S59" s="565"/>
      <c r="T59" s="572" t="s">
        <v>109</v>
      </c>
      <c r="U59" s="573"/>
      <c r="V59" s="573"/>
      <c r="W59" s="573"/>
      <c r="X59" s="573"/>
      <c r="Y59" s="573"/>
      <c r="Z59" s="574"/>
      <c r="AA59" s="58"/>
      <c r="AB59" s="59"/>
      <c r="AC59" s="176"/>
      <c r="AD59" s="176"/>
      <c r="AE59" s="176"/>
      <c r="AF59" s="176"/>
      <c r="AG59" s="176"/>
      <c r="AH59" s="176"/>
      <c r="AI59" s="176"/>
      <c r="AJ59" s="176"/>
      <c r="AK59" s="176"/>
      <c r="AL59" s="61"/>
      <c r="AM59" s="61"/>
      <c r="AN59" s="62"/>
    </row>
    <row r="60" spans="1:40" ht="15" customHeight="1">
      <c r="A60" s="63"/>
      <c r="B60" s="63"/>
      <c r="C60" s="177"/>
      <c r="D60" s="177"/>
      <c r="E60" s="176"/>
      <c r="F60" s="176"/>
      <c r="G60" s="176"/>
      <c r="H60" s="176"/>
      <c r="I60" s="176"/>
      <c r="J60" s="176"/>
      <c r="K60" s="176"/>
      <c r="L60" s="176"/>
      <c r="M60" s="566"/>
      <c r="N60" s="567"/>
      <c r="O60" s="567"/>
      <c r="P60" s="567"/>
      <c r="Q60" s="567"/>
      <c r="R60" s="567"/>
      <c r="S60" s="568"/>
      <c r="T60" s="575"/>
      <c r="U60" s="576"/>
      <c r="V60" s="576"/>
      <c r="W60" s="576"/>
      <c r="X60" s="576"/>
      <c r="Y60" s="576"/>
      <c r="Z60" s="577"/>
      <c r="AA60" s="58"/>
      <c r="AB60" s="59"/>
      <c r="AC60" s="176"/>
      <c r="AD60" s="176"/>
      <c r="AE60" s="176"/>
      <c r="AF60" s="176"/>
      <c r="AG60" s="176"/>
      <c r="AH60" s="176"/>
      <c r="AI60" s="176"/>
      <c r="AJ60" s="176"/>
      <c r="AK60" s="176"/>
      <c r="AL60" s="61"/>
      <c r="AM60" s="61"/>
      <c r="AN60" s="62"/>
    </row>
    <row r="61" spans="1:40" ht="15" customHeight="1">
      <c r="A61" s="63"/>
      <c r="B61" s="63"/>
      <c r="C61" s="177"/>
      <c r="D61" s="177"/>
      <c r="E61" s="176"/>
      <c r="F61" s="176"/>
      <c r="G61" s="176"/>
      <c r="H61" s="176"/>
      <c r="I61" s="176"/>
      <c r="J61" s="176"/>
      <c r="K61" s="176"/>
      <c r="L61" s="176"/>
      <c r="M61" s="566"/>
      <c r="N61" s="567"/>
      <c r="O61" s="567"/>
      <c r="P61" s="567"/>
      <c r="Q61" s="567"/>
      <c r="R61" s="567"/>
      <c r="S61" s="568"/>
      <c r="T61" s="575"/>
      <c r="U61" s="576"/>
      <c r="V61" s="576"/>
      <c r="W61" s="576"/>
      <c r="X61" s="576"/>
      <c r="Y61" s="576"/>
      <c r="Z61" s="577"/>
      <c r="AA61" s="58"/>
      <c r="AB61" s="59"/>
      <c r="AC61" s="176"/>
      <c r="AD61" s="176"/>
      <c r="AE61" s="176"/>
      <c r="AF61" s="176"/>
      <c r="AG61" s="176"/>
      <c r="AH61" s="176"/>
      <c r="AI61" s="176"/>
      <c r="AJ61" s="176"/>
      <c r="AK61" s="176"/>
      <c r="AL61" s="61"/>
      <c r="AM61" s="61"/>
      <c r="AN61" s="62"/>
    </row>
    <row r="62" spans="1:40" ht="15" customHeight="1">
      <c r="A62" s="63"/>
      <c r="B62" s="63"/>
      <c r="C62" s="177"/>
      <c r="D62" s="177"/>
      <c r="E62" s="176"/>
      <c r="F62" s="176"/>
      <c r="G62" s="176"/>
      <c r="H62" s="176"/>
      <c r="I62" s="176"/>
      <c r="J62" s="176"/>
      <c r="K62" s="176"/>
      <c r="L62" s="176"/>
      <c r="M62" s="569"/>
      <c r="N62" s="570"/>
      <c r="O62" s="570"/>
      <c r="P62" s="570"/>
      <c r="Q62" s="570"/>
      <c r="R62" s="570"/>
      <c r="S62" s="571"/>
      <c r="T62" s="578"/>
      <c r="U62" s="579"/>
      <c r="V62" s="579"/>
      <c r="W62" s="579"/>
      <c r="X62" s="579"/>
      <c r="Y62" s="579"/>
      <c r="Z62" s="580"/>
      <c r="AA62" s="58"/>
      <c r="AB62" s="59"/>
      <c r="AC62" s="176"/>
      <c r="AD62" s="176"/>
      <c r="AE62" s="176"/>
      <c r="AF62" s="176"/>
      <c r="AG62" s="176"/>
      <c r="AH62" s="176"/>
      <c r="AI62" s="176"/>
      <c r="AJ62" s="176"/>
      <c r="AK62" s="176"/>
      <c r="AL62" s="61"/>
      <c r="AM62" s="61"/>
      <c r="AN62" s="62"/>
    </row>
    <row r="63" spans="1:40" ht="15" customHeight="1">
      <c r="A63" s="63"/>
      <c r="B63" s="63"/>
      <c r="C63" s="177"/>
      <c r="D63" s="177"/>
      <c r="E63" s="176"/>
      <c r="F63" s="176"/>
      <c r="G63" s="176"/>
      <c r="H63" s="176"/>
      <c r="I63" s="176"/>
      <c r="J63" s="176"/>
      <c r="K63" s="176"/>
      <c r="L63" s="176"/>
      <c r="M63" s="680">
        <f>AC53-AC45</f>
        <v>0</v>
      </c>
      <c r="N63" s="681"/>
      <c r="O63" s="681"/>
      <c r="P63" s="681"/>
      <c r="Q63" s="681"/>
      <c r="R63" s="44"/>
      <c r="S63" s="46"/>
      <c r="T63" s="684">
        <f>M63/Q53</f>
        <v>0</v>
      </c>
      <c r="U63" s="681"/>
      <c r="V63" s="681"/>
      <c r="W63" s="681"/>
      <c r="X63" s="681"/>
      <c r="Y63" s="44"/>
      <c r="Z63" s="45"/>
      <c r="AA63" s="58"/>
      <c r="AB63" s="59"/>
      <c r="AC63" s="176"/>
      <c r="AD63" s="176"/>
      <c r="AE63" s="176"/>
      <c r="AF63" s="176"/>
      <c r="AG63" s="176"/>
      <c r="AH63" s="176"/>
      <c r="AI63" s="176"/>
      <c r="AJ63" s="176"/>
      <c r="AK63" s="176"/>
      <c r="AL63" s="61"/>
      <c r="AM63" s="61"/>
      <c r="AN63" s="62"/>
    </row>
    <row r="64" spans="1:40" ht="15" customHeight="1" thickBot="1">
      <c r="A64" s="63"/>
      <c r="B64" s="63"/>
      <c r="C64" s="177"/>
      <c r="D64" s="177"/>
      <c r="E64" s="176"/>
      <c r="F64" s="176"/>
      <c r="G64" s="176"/>
      <c r="H64" s="176"/>
      <c r="I64" s="176"/>
      <c r="J64" s="176"/>
      <c r="K64" s="176"/>
      <c r="L64" s="176"/>
      <c r="M64" s="682"/>
      <c r="N64" s="683"/>
      <c r="O64" s="683"/>
      <c r="P64" s="683"/>
      <c r="Q64" s="683"/>
      <c r="R64" s="706" t="s">
        <v>38</v>
      </c>
      <c r="S64" s="707"/>
      <c r="T64" s="685"/>
      <c r="U64" s="683"/>
      <c r="V64" s="683"/>
      <c r="W64" s="683"/>
      <c r="X64" s="683"/>
      <c r="Y64" s="638" t="s">
        <v>41</v>
      </c>
      <c r="Z64" s="639"/>
      <c r="AA64" s="58"/>
      <c r="AB64" s="59"/>
      <c r="AC64" s="176"/>
      <c r="AD64" s="176"/>
      <c r="AE64" s="176"/>
      <c r="AF64" s="176"/>
      <c r="AG64" s="176"/>
      <c r="AH64" s="176"/>
      <c r="AI64" s="176"/>
      <c r="AJ64" s="176"/>
      <c r="AK64" s="176"/>
      <c r="AL64" s="61"/>
      <c r="AM64" s="61"/>
      <c r="AN64" s="62"/>
    </row>
    <row r="65" spans="1:40" ht="15" customHeight="1">
      <c r="A65" s="63"/>
      <c r="B65" s="63"/>
      <c r="C65" s="177"/>
      <c r="D65" s="177"/>
      <c r="E65" s="176"/>
      <c r="F65" s="176"/>
      <c r="G65" s="176"/>
      <c r="H65" s="176"/>
      <c r="I65" s="176"/>
      <c r="J65" s="176"/>
      <c r="K65" s="176"/>
      <c r="L65" s="176"/>
      <c r="M65" s="176"/>
      <c r="N65" s="58"/>
      <c r="O65" s="58"/>
      <c r="P65" s="59"/>
      <c r="Q65" s="176"/>
      <c r="R65" s="176"/>
      <c r="S65" s="176"/>
      <c r="T65" s="176"/>
      <c r="U65" s="176"/>
      <c r="V65" s="176"/>
      <c r="W65" s="176"/>
      <c r="X65" s="176"/>
      <c r="Y65" s="176"/>
      <c r="Z65" s="58"/>
      <c r="AA65" s="58"/>
      <c r="AB65" s="59"/>
      <c r="AC65" s="176"/>
      <c r="AD65" s="176"/>
      <c r="AE65" s="176"/>
      <c r="AF65" s="176"/>
      <c r="AG65" s="176"/>
      <c r="AH65" s="176"/>
      <c r="AI65" s="176"/>
      <c r="AJ65" s="176"/>
      <c r="AK65" s="176"/>
      <c r="AL65" s="61"/>
      <c r="AM65" s="61"/>
      <c r="AN65" s="62"/>
    </row>
    <row r="66" spans="1:40" ht="15" customHeight="1"/>
    <row r="80" spans="1:40" ht="21.75" customHeight="1">
      <c r="A80" s="182" t="s">
        <v>50</v>
      </c>
    </row>
    <row r="82" spans="1:58" ht="18.75" customHeight="1" thickBot="1"/>
    <row r="83" spans="1:58" ht="21.95" customHeight="1">
      <c r="A83" s="510" t="s">
        <v>51</v>
      </c>
      <c r="B83" s="511"/>
      <c r="C83" s="658" t="s">
        <v>52</v>
      </c>
      <c r="D83" s="659"/>
      <c r="E83" s="665" t="s">
        <v>32</v>
      </c>
      <c r="F83" s="666"/>
      <c r="G83" s="666"/>
      <c r="H83" s="666"/>
      <c r="I83" s="666"/>
      <c r="J83" s="666"/>
      <c r="K83" s="666"/>
      <c r="L83" s="666"/>
      <c r="M83" s="666"/>
      <c r="N83" s="666"/>
      <c r="O83" s="666"/>
      <c r="P83" s="666"/>
      <c r="Q83" s="666"/>
      <c r="R83" s="666"/>
      <c r="S83" s="666"/>
      <c r="T83" s="667"/>
      <c r="U83" s="668" t="s">
        <v>53</v>
      </c>
      <c r="V83" s="669"/>
      <c r="W83" s="669"/>
      <c r="X83" s="669"/>
      <c r="Y83" s="669"/>
      <c r="Z83" s="669"/>
      <c r="AA83" s="669"/>
      <c r="AB83" s="670"/>
      <c r="AC83" s="673" t="s">
        <v>131</v>
      </c>
      <c r="AD83" s="669"/>
      <c r="AE83" s="669"/>
      <c r="AF83" s="669"/>
      <c r="AG83" s="669"/>
      <c r="AH83" s="669"/>
      <c r="AI83" s="669"/>
      <c r="AJ83" s="669"/>
      <c r="AK83" s="669"/>
      <c r="AL83" s="669"/>
      <c r="AM83" s="669"/>
      <c r="AN83" s="674"/>
    </row>
    <row r="84" spans="1:58" ht="21.95" customHeight="1" thickBot="1">
      <c r="A84" s="512"/>
      <c r="B84" s="513"/>
      <c r="C84" s="660"/>
      <c r="D84" s="661"/>
      <c r="E84" s="677" t="s">
        <v>46</v>
      </c>
      <c r="F84" s="678"/>
      <c r="G84" s="678"/>
      <c r="H84" s="678"/>
      <c r="I84" s="678"/>
      <c r="J84" s="678"/>
      <c r="K84" s="679"/>
      <c r="L84" s="679"/>
      <c r="M84" s="708" t="s">
        <v>47</v>
      </c>
      <c r="N84" s="708"/>
      <c r="O84" s="708"/>
      <c r="P84" s="708"/>
      <c r="Q84" s="708"/>
      <c r="R84" s="708"/>
      <c r="S84" s="709"/>
      <c r="T84" s="710"/>
      <c r="U84" s="671"/>
      <c r="V84" s="671"/>
      <c r="W84" s="671"/>
      <c r="X84" s="671"/>
      <c r="Y84" s="671"/>
      <c r="Z84" s="671"/>
      <c r="AA84" s="671"/>
      <c r="AB84" s="672"/>
      <c r="AC84" s="675"/>
      <c r="AD84" s="671"/>
      <c r="AE84" s="671"/>
      <c r="AF84" s="671"/>
      <c r="AG84" s="671"/>
      <c r="AH84" s="671"/>
      <c r="AI84" s="671"/>
      <c r="AJ84" s="671"/>
      <c r="AK84" s="671"/>
      <c r="AL84" s="671"/>
      <c r="AM84" s="671"/>
      <c r="AN84" s="676"/>
    </row>
    <row r="85" spans="1:58" ht="21.95" customHeight="1" thickTop="1">
      <c r="A85" s="512"/>
      <c r="B85" s="513"/>
      <c r="C85" s="660"/>
      <c r="D85" s="662"/>
      <c r="E85" s="711">
        <f>需要・供給量試算シミュレーション!M9</f>
        <v>9869</v>
      </c>
      <c r="F85" s="712"/>
      <c r="G85" s="712"/>
      <c r="H85" s="712"/>
      <c r="I85" s="712"/>
      <c r="J85" s="713"/>
      <c r="K85" s="105"/>
      <c r="L85" s="105"/>
      <c r="M85" s="711">
        <f>需要・供給量試算シミュレーション!M10</f>
        <v>1121</v>
      </c>
      <c r="N85" s="712"/>
      <c r="O85" s="712"/>
      <c r="P85" s="712"/>
      <c r="Q85" s="712"/>
      <c r="R85" s="713"/>
      <c r="S85" s="61"/>
      <c r="T85" s="106"/>
      <c r="U85" s="717">
        <v>1.78</v>
      </c>
      <c r="V85" s="718"/>
      <c r="W85" s="718"/>
      <c r="X85" s="718"/>
      <c r="Y85" s="718"/>
      <c r="Z85" s="718"/>
      <c r="AA85" s="721" t="s">
        <v>38</v>
      </c>
      <c r="AB85" s="722"/>
      <c r="AC85" s="736">
        <f>G87*U85</f>
        <v>19562.2</v>
      </c>
      <c r="AD85" s="737"/>
      <c r="AE85" s="737"/>
      <c r="AF85" s="737"/>
      <c r="AG85" s="737"/>
      <c r="AH85" s="737"/>
      <c r="AI85" s="737"/>
      <c r="AJ85" s="737"/>
      <c r="AK85" s="737"/>
      <c r="AL85" s="727" t="s">
        <v>38</v>
      </c>
      <c r="AM85" s="727"/>
      <c r="AN85" s="728"/>
    </row>
    <row r="86" spans="1:58" ht="21.95" customHeight="1" thickBot="1">
      <c r="A86" s="512"/>
      <c r="B86" s="513"/>
      <c r="C86" s="660"/>
      <c r="D86" s="662"/>
      <c r="E86" s="714"/>
      <c r="F86" s="715"/>
      <c r="G86" s="715"/>
      <c r="H86" s="715"/>
      <c r="I86" s="715"/>
      <c r="J86" s="716"/>
      <c r="K86" s="733" t="s">
        <v>48</v>
      </c>
      <c r="L86" s="733"/>
      <c r="M86" s="714"/>
      <c r="N86" s="715"/>
      <c r="O86" s="715"/>
      <c r="P86" s="715"/>
      <c r="Q86" s="715"/>
      <c r="R86" s="716"/>
      <c r="S86" s="625" t="s">
        <v>48</v>
      </c>
      <c r="T86" s="626"/>
      <c r="U86" s="719"/>
      <c r="V86" s="720"/>
      <c r="W86" s="720"/>
      <c r="X86" s="720"/>
      <c r="Y86" s="720"/>
      <c r="Z86" s="720"/>
      <c r="AA86" s="723"/>
      <c r="AB86" s="724"/>
      <c r="AC86" s="738"/>
      <c r="AD86" s="739"/>
      <c r="AE86" s="739"/>
      <c r="AF86" s="739"/>
      <c r="AG86" s="739"/>
      <c r="AH86" s="739"/>
      <c r="AI86" s="739"/>
      <c r="AJ86" s="739"/>
      <c r="AK86" s="739"/>
      <c r="AL86" s="729"/>
      <c r="AM86" s="729"/>
      <c r="AN86" s="730"/>
    </row>
    <row r="87" spans="1:58" ht="21.95" customHeight="1" thickTop="1">
      <c r="A87" s="512"/>
      <c r="B87" s="513"/>
      <c r="C87" s="660"/>
      <c r="D87" s="661"/>
      <c r="E87" s="598" t="s">
        <v>49</v>
      </c>
      <c r="F87" s="599"/>
      <c r="G87" s="602">
        <f>E85+M85</f>
        <v>10990</v>
      </c>
      <c r="H87" s="602"/>
      <c r="I87" s="602"/>
      <c r="J87" s="602"/>
      <c r="K87" s="603"/>
      <c r="L87" s="603"/>
      <c r="M87" s="602"/>
      <c r="N87" s="602"/>
      <c r="O87" s="602"/>
      <c r="P87" s="602"/>
      <c r="Q87" s="602"/>
      <c r="R87" s="602"/>
      <c r="S87" s="107"/>
      <c r="T87" s="108"/>
      <c r="U87" s="719"/>
      <c r="V87" s="720"/>
      <c r="W87" s="720"/>
      <c r="X87" s="720"/>
      <c r="Y87" s="720"/>
      <c r="Z87" s="720"/>
      <c r="AA87" s="723"/>
      <c r="AB87" s="724"/>
      <c r="AC87" s="738"/>
      <c r="AD87" s="739"/>
      <c r="AE87" s="739"/>
      <c r="AF87" s="739"/>
      <c r="AG87" s="739"/>
      <c r="AH87" s="739"/>
      <c r="AI87" s="739"/>
      <c r="AJ87" s="739"/>
      <c r="AK87" s="739"/>
      <c r="AL87" s="729"/>
      <c r="AM87" s="729"/>
      <c r="AN87" s="730"/>
    </row>
    <row r="88" spans="1:58" ht="21.95" customHeight="1" thickBot="1">
      <c r="A88" s="512"/>
      <c r="B88" s="513"/>
      <c r="C88" s="663"/>
      <c r="D88" s="664"/>
      <c r="E88" s="600"/>
      <c r="F88" s="601"/>
      <c r="G88" s="604"/>
      <c r="H88" s="604"/>
      <c r="I88" s="604"/>
      <c r="J88" s="604"/>
      <c r="K88" s="604"/>
      <c r="L88" s="604"/>
      <c r="M88" s="604"/>
      <c r="N88" s="604"/>
      <c r="O88" s="604"/>
      <c r="P88" s="604"/>
      <c r="Q88" s="604"/>
      <c r="R88" s="604"/>
      <c r="S88" s="605" t="s">
        <v>48</v>
      </c>
      <c r="T88" s="606"/>
      <c r="U88" s="586"/>
      <c r="V88" s="587"/>
      <c r="W88" s="587"/>
      <c r="X88" s="587"/>
      <c r="Y88" s="587"/>
      <c r="Z88" s="587"/>
      <c r="AA88" s="725"/>
      <c r="AB88" s="726"/>
      <c r="AC88" s="561"/>
      <c r="AD88" s="562"/>
      <c r="AE88" s="562"/>
      <c r="AF88" s="562"/>
      <c r="AG88" s="562"/>
      <c r="AH88" s="562"/>
      <c r="AI88" s="562"/>
      <c r="AJ88" s="562"/>
      <c r="AK88" s="562"/>
      <c r="AL88" s="731"/>
      <c r="AM88" s="731"/>
      <c r="AN88" s="732"/>
    </row>
    <row r="89" spans="1:58" ht="21.95" customHeight="1">
      <c r="A89" s="512"/>
      <c r="B89" s="513"/>
      <c r="C89" s="658" t="s">
        <v>54</v>
      </c>
      <c r="D89" s="659"/>
      <c r="E89" s="581" t="s">
        <v>106</v>
      </c>
      <c r="F89" s="544"/>
      <c r="G89" s="544"/>
      <c r="H89" s="544"/>
      <c r="I89" s="544"/>
      <c r="J89" s="544"/>
      <c r="K89" s="544"/>
      <c r="L89" s="544"/>
      <c r="M89" s="544"/>
      <c r="N89" s="525"/>
      <c r="O89" s="525"/>
      <c r="P89" s="526"/>
      <c r="Q89" s="582" t="s">
        <v>112</v>
      </c>
      <c r="R89" s="525"/>
      <c r="S89" s="525"/>
      <c r="T89" s="525"/>
      <c r="U89" s="525"/>
      <c r="V89" s="525"/>
      <c r="W89" s="525"/>
      <c r="X89" s="525"/>
      <c r="Y89" s="525"/>
      <c r="Z89" s="525"/>
      <c r="AA89" s="525"/>
      <c r="AB89" s="526"/>
      <c r="AC89" s="583" t="s">
        <v>120</v>
      </c>
      <c r="AD89" s="525"/>
      <c r="AE89" s="525"/>
      <c r="AF89" s="525"/>
      <c r="AG89" s="525"/>
      <c r="AH89" s="525"/>
      <c r="AI89" s="525"/>
      <c r="AJ89" s="525"/>
      <c r="AK89" s="525"/>
      <c r="AL89" s="525"/>
      <c r="AM89" s="525"/>
      <c r="AN89" s="530"/>
    </row>
    <row r="90" spans="1:58" ht="21.95" customHeight="1" thickBot="1">
      <c r="A90" s="512"/>
      <c r="B90" s="513"/>
      <c r="C90" s="660"/>
      <c r="D90" s="661"/>
      <c r="E90" s="527"/>
      <c r="F90" s="528"/>
      <c r="G90" s="528"/>
      <c r="H90" s="528"/>
      <c r="I90" s="528"/>
      <c r="J90" s="528"/>
      <c r="K90" s="528"/>
      <c r="L90" s="528"/>
      <c r="M90" s="528"/>
      <c r="N90" s="528"/>
      <c r="O90" s="528"/>
      <c r="P90" s="529"/>
      <c r="Q90" s="527"/>
      <c r="R90" s="528"/>
      <c r="S90" s="528"/>
      <c r="T90" s="528"/>
      <c r="U90" s="528"/>
      <c r="V90" s="528"/>
      <c r="W90" s="528"/>
      <c r="X90" s="528"/>
      <c r="Y90" s="528"/>
      <c r="Z90" s="528"/>
      <c r="AA90" s="528"/>
      <c r="AB90" s="529"/>
      <c r="AC90" s="527"/>
      <c r="AD90" s="528"/>
      <c r="AE90" s="528"/>
      <c r="AF90" s="528"/>
      <c r="AG90" s="528"/>
      <c r="AH90" s="528"/>
      <c r="AI90" s="528"/>
      <c r="AJ90" s="528"/>
      <c r="AK90" s="528"/>
      <c r="AL90" s="528"/>
      <c r="AM90" s="528"/>
      <c r="AN90" s="531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</row>
    <row r="91" spans="1:58" ht="21.95" customHeight="1" thickTop="1">
      <c r="A91" s="512"/>
      <c r="B91" s="513"/>
      <c r="C91" s="660"/>
      <c r="D91" s="662"/>
      <c r="E91" s="589">
        <f>需要・供給量試算シミュレーション!M13</f>
        <v>355.00733403469599</v>
      </c>
      <c r="F91" s="590"/>
      <c r="G91" s="590"/>
      <c r="H91" s="590"/>
      <c r="I91" s="590"/>
      <c r="J91" s="590"/>
      <c r="K91" s="590"/>
      <c r="L91" s="590"/>
      <c r="M91" s="591"/>
      <c r="N91" s="107"/>
      <c r="O91" s="107"/>
      <c r="P91" s="108"/>
      <c r="Q91" s="584">
        <f>Q53</f>
        <v>49.960111317200003</v>
      </c>
      <c r="R91" s="585"/>
      <c r="S91" s="585"/>
      <c r="T91" s="585"/>
      <c r="U91" s="585"/>
      <c r="V91" s="585"/>
      <c r="W91" s="585"/>
      <c r="X91" s="585"/>
      <c r="Y91" s="585"/>
      <c r="Z91" s="107"/>
      <c r="AA91" s="107"/>
      <c r="AB91" s="108"/>
      <c r="AC91" s="559">
        <f>需要・供給量試算シミュレーション!M15</f>
        <v>17736.205926795818</v>
      </c>
      <c r="AD91" s="560"/>
      <c r="AE91" s="560"/>
      <c r="AF91" s="560"/>
      <c r="AG91" s="560"/>
      <c r="AH91" s="560"/>
      <c r="AI91" s="560"/>
      <c r="AJ91" s="560"/>
      <c r="AK91" s="560"/>
      <c r="AL91" s="109"/>
      <c r="AM91" s="109"/>
      <c r="AN91" s="11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</row>
    <row r="92" spans="1:58" ht="21.95" customHeight="1" thickBot="1">
      <c r="A92" s="514"/>
      <c r="B92" s="515"/>
      <c r="C92" s="663"/>
      <c r="D92" s="740"/>
      <c r="E92" s="592"/>
      <c r="F92" s="593"/>
      <c r="G92" s="593"/>
      <c r="H92" s="593"/>
      <c r="I92" s="593"/>
      <c r="J92" s="593"/>
      <c r="K92" s="593"/>
      <c r="L92" s="593"/>
      <c r="M92" s="594"/>
      <c r="N92" s="111"/>
      <c r="O92" s="111"/>
      <c r="P92" s="112" t="s">
        <v>42</v>
      </c>
      <c r="Q92" s="586"/>
      <c r="R92" s="587"/>
      <c r="S92" s="587"/>
      <c r="T92" s="587"/>
      <c r="U92" s="587"/>
      <c r="V92" s="587"/>
      <c r="W92" s="587"/>
      <c r="X92" s="587"/>
      <c r="Y92" s="587"/>
      <c r="Z92" s="111"/>
      <c r="AA92" s="111"/>
      <c r="AB92" s="112" t="s">
        <v>38</v>
      </c>
      <c r="AC92" s="561"/>
      <c r="AD92" s="562"/>
      <c r="AE92" s="562"/>
      <c r="AF92" s="562"/>
      <c r="AG92" s="562"/>
      <c r="AH92" s="562"/>
      <c r="AI92" s="562"/>
      <c r="AJ92" s="562"/>
      <c r="AK92" s="562"/>
      <c r="AL92" s="113"/>
      <c r="AM92" s="113"/>
      <c r="AN92" s="114" t="s">
        <v>38</v>
      </c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</row>
    <row r="93" spans="1:58" ht="12.75" customHeight="1">
      <c r="A93" s="55"/>
      <c r="B93" s="55"/>
      <c r="C93" s="56"/>
      <c r="D93" s="56"/>
      <c r="E93" s="57"/>
      <c r="F93" s="57"/>
      <c r="G93" s="57"/>
      <c r="H93" s="57"/>
      <c r="I93" s="57"/>
      <c r="J93" s="57"/>
      <c r="K93" s="57"/>
      <c r="L93" s="57"/>
      <c r="M93" s="57"/>
      <c r="N93" s="58"/>
      <c r="O93" s="58"/>
      <c r="P93" s="59"/>
      <c r="Q93" s="57"/>
      <c r="R93" s="57"/>
      <c r="S93" s="57"/>
      <c r="T93" s="57"/>
      <c r="U93" s="57"/>
      <c r="V93" s="57"/>
      <c r="W93" s="57"/>
      <c r="X93" s="57"/>
      <c r="Y93" s="57"/>
      <c r="Z93" s="58"/>
      <c r="AA93" s="58"/>
      <c r="AB93" s="59"/>
      <c r="AC93" s="57"/>
      <c r="AD93" s="57"/>
      <c r="AE93" s="57"/>
      <c r="AF93" s="57"/>
      <c r="AG93" s="57"/>
      <c r="AH93" s="57"/>
      <c r="AI93" s="57"/>
      <c r="AJ93" s="57"/>
      <c r="AK93" s="57"/>
      <c r="AL93" s="61"/>
      <c r="AM93" s="61"/>
      <c r="AN93" s="65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</row>
    <row r="94" spans="1:58" ht="12.75" customHeight="1">
      <c r="A94" s="55"/>
      <c r="B94" s="55"/>
      <c r="C94" s="56"/>
      <c r="D94" s="56"/>
      <c r="E94" s="176"/>
      <c r="F94" s="176"/>
      <c r="G94" s="176"/>
      <c r="H94" s="176"/>
      <c r="I94" s="176"/>
      <c r="J94" s="176"/>
      <c r="K94" s="176"/>
      <c r="L94" s="176"/>
      <c r="M94" s="176"/>
      <c r="N94" s="58"/>
      <c r="O94" s="58"/>
      <c r="P94" s="59"/>
      <c r="Q94" s="176"/>
      <c r="R94" s="176"/>
      <c r="S94" s="176"/>
      <c r="T94" s="176"/>
      <c r="U94" s="176"/>
      <c r="V94" s="176"/>
      <c r="W94" s="176"/>
      <c r="X94" s="176"/>
      <c r="Y94" s="176"/>
      <c r="Z94" s="58"/>
      <c r="AA94" s="58"/>
      <c r="AB94" s="59"/>
      <c r="AC94" s="176"/>
      <c r="AD94" s="176"/>
      <c r="AE94" s="176"/>
      <c r="AF94" s="176"/>
      <c r="AG94" s="176"/>
      <c r="AH94" s="176"/>
      <c r="AI94" s="176"/>
      <c r="AJ94" s="176"/>
      <c r="AK94" s="176"/>
      <c r="AL94" s="61"/>
      <c r="AM94" s="61"/>
      <c r="AN94" s="65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</row>
    <row r="95" spans="1:58" ht="18.75" customHeight="1" thickBot="1">
      <c r="A95" s="55"/>
      <c r="B95" s="55"/>
      <c r="C95" s="56"/>
      <c r="D95" s="56"/>
      <c r="E95" s="176"/>
      <c r="F95" s="176"/>
      <c r="G95" s="176"/>
      <c r="H95" s="176"/>
      <c r="I95" s="176"/>
      <c r="J95" s="176"/>
      <c r="K95" s="176"/>
      <c r="L95" s="176"/>
      <c r="M95" s="176"/>
      <c r="N95" s="58"/>
      <c r="O95" s="58"/>
      <c r="P95" s="59"/>
      <c r="Q95" s="176"/>
      <c r="R95" s="176"/>
      <c r="S95" s="176"/>
      <c r="T95" s="176"/>
      <c r="U95" s="176"/>
      <c r="V95" s="176"/>
      <c r="W95" s="176"/>
      <c r="X95" s="176"/>
      <c r="Y95" s="176"/>
      <c r="Z95" s="58"/>
      <c r="AA95" s="58"/>
      <c r="AB95" s="59"/>
      <c r="AC95" s="176"/>
      <c r="AD95" s="176"/>
      <c r="AE95" s="176"/>
      <c r="AF95" s="176"/>
      <c r="AG95" s="176"/>
      <c r="AH95" s="176"/>
      <c r="AI95" s="176"/>
      <c r="AJ95" s="176"/>
      <c r="AK95" s="176"/>
      <c r="AL95" s="61"/>
      <c r="AM95" s="61"/>
      <c r="AN95" s="65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</row>
    <row r="96" spans="1:58" ht="20.100000000000001" customHeight="1">
      <c r="A96" s="55"/>
      <c r="B96" s="55"/>
      <c r="C96" s="56"/>
      <c r="D96" s="56"/>
      <c r="E96" s="176"/>
      <c r="F96" s="176"/>
      <c r="G96" s="176"/>
      <c r="H96" s="176"/>
      <c r="I96" s="176"/>
      <c r="J96" s="176"/>
      <c r="K96" s="176"/>
      <c r="L96" s="176"/>
      <c r="M96" s="734" t="s">
        <v>107</v>
      </c>
      <c r="N96" s="669"/>
      <c r="O96" s="669"/>
      <c r="P96" s="669"/>
      <c r="Q96" s="669"/>
      <c r="R96" s="669"/>
      <c r="S96" s="670"/>
      <c r="T96" s="673" t="s">
        <v>108</v>
      </c>
      <c r="U96" s="669"/>
      <c r="V96" s="669"/>
      <c r="W96" s="669"/>
      <c r="X96" s="669"/>
      <c r="Y96" s="669"/>
      <c r="Z96" s="674"/>
      <c r="AA96" s="58"/>
      <c r="AB96" s="59"/>
      <c r="AC96" s="176"/>
      <c r="AD96" s="176"/>
      <c r="AE96" s="176"/>
      <c r="AF96" s="176"/>
      <c r="AG96" s="176"/>
      <c r="AH96" s="176"/>
      <c r="AI96" s="176"/>
      <c r="AJ96" s="176"/>
      <c r="AK96" s="176"/>
      <c r="AL96" s="61"/>
      <c r="AM96" s="61"/>
      <c r="AN96" s="65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</row>
    <row r="97" spans="1:58" ht="20.100000000000001" customHeight="1">
      <c r="A97" s="55"/>
      <c r="B97" s="55"/>
      <c r="C97" s="56"/>
      <c r="D97" s="56"/>
      <c r="E97" s="176"/>
      <c r="F97" s="176"/>
      <c r="G97" s="176"/>
      <c r="H97" s="176"/>
      <c r="I97" s="176"/>
      <c r="J97" s="176"/>
      <c r="K97" s="176"/>
      <c r="L97" s="176"/>
      <c r="M97" s="735"/>
      <c r="N97" s="671"/>
      <c r="O97" s="671"/>
      <c r="P97" s="671"/>
      <c r="Q97" s="671"/>
      <c r="R97" s="671"/>
      <c r="S97" s="672"/>
      <c r="T97" s="675"/>
      <c r="U97" s="671"/>
      <c r="V97" s="671"/>
      <c r="W97" s="671"/>
      <c r="X97" s="671"/>
      <c r="Y97" s="671"/>
      <c r="Z97" s="676"/>
      <c r="AA97" s="58"/>
      <c r="AB97" s="59"/>
      <c r="AC97" s="176"/>
      <c r="AD97" s="176"/>
      <c r="AE97" s="176"/>
      <c r="AF97" s="176"/>
      <c r="AG97" s="176"/>
      <c r="AH97" s="176"/>
      <c r="AI97" s="176"/>
      <c r="AJ97" s="176"/>
      <c r="AK97" s="176"/>
      <c r="AL97" s="61"/>
      <c r="AM97" s="61"/>
      <c r="AN97" s="65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</row>
    <row r="98" spans="1:58" ht="20.100000000000001" customHeight="1">
      <c r="A98" s="55"/>
      <c r="B98" s="55"/>
      <c r="C98" s="56"/>
      <c r="D98" s="56"/>
      <c r="E98" s="176"/>
      <c r="F98" s="176"/>
      <c r="G98" s="176"/>
      <c r="H98" s="176"/>
      <c r="I98" s="176"/>
      <c r="J98" s="176"/>
      <c r="K98" s="176"/>
      <c r="L98" s="176"/>
      <c r="M98" s="617">
        <f>ROUNDUP(AC91-AC85,0)</f>
        <v>-1826</v>
      </c>
      <c r="N98" s="618"/>
      <c r="O98" s="618"/>
      <c r="P98" s="618"/>
      <c r="Q98" s="618"/>
      <c r="R98" s="109"/>
      <c r="S98" s="129"/>
      <c r="T98" s="621">
        <f>ROUNDUP(M98/Q91,0)</f>
        <v>-37</v>
      </c>
      <c r="U98" s="618"/>
      <c r="V98" s="618"/>
      <c r="W98" s="618"/>
      <c r="X98" s="618"/>
      <c r="Y98" s="109"/>
      <c r="Z98" s="110"/>
      <c r="AA98" s="58"/>
      <c r="AB98" s="59"/>
      <c r="AC98" s="176"/>
      <c r="AD98" s="176"/>
      <c r="AE98" s="176"/>
      <c r="AF98" s="176"/>
      <c r="AG98" s="176"/>
      <c r="AH98" s="176"/>
      <c r="AI98" s="176"/>
      <c r="AJ98" s="176"/>
      <c r="AK98" s="176"/>
      <c r="AL98" s="61"/>
      <c r="AM98" s="61"/>
      <c r="AN98" s="65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</row>
    <row r="99" spans="1:58" ht="20.100000000000001" customHeight="1" thickBot="1">
      <c r="A99" s="55"/>
      <c r="B99" s="55"/>
      <c r="C99" s="56"/>
      <c r="D99" s="56"/>
      <c r="E99" s="176"/>
      <c r="F99" s="176"/>
      <c r="G99" s="176"/>
      <c r="H99" s="176"/>
      <c r="I99" s="176"/>
      <c r="J99" s="176"/>
      <c r="K99" s="176"/>
      <c r="L99" s="176"/>
      <c r="M99" s="619"/>
      <c r="N99" s="620"/>
      <c r="O99" s="620"/>
      <c r="P99" s="620"/>
      <c r="Q99" s="620"/>
      <c r="R99" s="623" t="s">
        <v>38</v>
      </c>
      <c r="S99" s="624"/>
      <c r="T99" s="622"/>
      <c r="U99" s="620"/>
      <c r="V99" s="620"/>
      <c r="W99" s="620"/>
      <c r="X99" s="620"/>
      <c r="Y99" s="627" t="s">
        <v>41</v>
      </c>
      <c r="Z99" s="628"/>
      <c r="AA99" s="58"/>
      <c r="AB99" s="59"/>
      <c r="AC99" s="176"/>
      <c r="AD99" s="176"/>
      <c r="AE99" s="176"/>
      <c r="AF99" s="176"/>
      <c r="AG99" s="176"/>
      <c r="AH99" s="176"/>
      <c r="AI99" s="176"/>
      <c r="AJ99" s="176"/>
      <c r="AK99" s="176"/>
      <c r="AL99" s="61"/>
      <c r="AM99" s="61"/>
      <c r="AN99" s="65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</row>
    <row r="100" spans="1:58" ht="20.100000000000001" customHeight="1">
      <c r="A100" s="55"/>
      <c r="B100" s="55"/>
      <c r="C100" s="56"/>
      <c r="D100" s="56"/>
      <c r="E100" s="179"/>
      <c r="F100" s="179"/>
      <c r="G100" s="179"/>
      <c r="H100" s="179"/>
      <c r="I100" s="179"/>
      <c r="J100" s="179"/>
      <c r="K100" s="179"/>
      <c r="L100" s="179"/>
      <c r="M100" s="183"/>
      <c r="N100" s="183"/>
      <c r="O100" s="183"/>
      <c r="P100" s="183"/>
      <c r="Q100" s="183"/>
      <c r="R100" s="184"/>
      <c r="S100" s="184"/>
      <c r="T100" s="183"/>
      <c r="U100" s="183"/>
      <c r="V100" s="183"/>
      <c r="W100" s="183"/>
      <c r="X100" s="183"/>
      <c r="Y100" s="185"/>
      <c r="Z100" s="185"/>
      <c r="AA100" s="58"/>
      <c r="AB100" s="59"/>
      <c r="AC100" s="179"/>
      <c r="AD100" s="179"/>
      <c r="AE100" s="179"/>
      <c r="AF100" s="179"/>
      <c r="AG100" s="179"/>
      <c r="AH100" s="179"/>
      <c r="AI100" s="179"/>
      <c r="AJ100" s="179"/>
      <c r="AK100" s="179"/>
      <c r="AL100" s="61"/>
      <c r="AM100" s="61"/>
      <c r="AN100" s="65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</row>
    <row r="101" spans="1:58" ht="20.100000000000001" customHeight="1">
      <c r="A101" s="55"/>
      <c r="B101" s="55"/>
      <c r="C101" s="56"/>
      <c r="D101" s="56"/>
      <c r="E101" s="179"/>
      <c r="F101" s="179"/>
      <c r="G101" s="179"/>
      <c r="H101" s="179"/>
      <c r="I101" s="179"/>
      <c r="J101" s="179"/>
      <c r="K101" s="179"/>
      <c r="L101" s="179"/>
      <c r="M101" s="183"/>
      <c r="N101" s="183"/>
      <c r="O101" s="183"/>
      <c r="P101" s="183"/>
      <c r="Q101" s="183"/>
      <c r="R101" s="184"/>
      <c r="S101" s="184"/>
      <c r="T101" s="183"/>
      <c r="U101" s="183"/>
      <c r="V101" s="183"/>
      <c r="W101" s="183"/>
      <c r="X101" s="183"/>
      <c r="Y101" s="185"/>
      <c r="Z101" s="185"/>
      <c r="AA101" s="58"/>
      <c r="AB101" s="59"/>
      <c r="AC101" s="179"/>
      <c r="AD101" s="179"/>
      <c r="AE101" s="179"/>
      <c r="AF101" s="179"/>
      <c r="AG101" s="179"/>
      <c r="AH101" s="179"/>
      <c r="AI101" s="179"/>
      <c r="AJ101" s="179"/>
      <c r="AK101" s="179"/>
      <c r="AL101" s="61"/>
      <c r="AM101" s="61"/>
      <c r="AN101" s="65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</row>
    <row r="102" spans="1:58" ht="20.100000000000001" customHeight="1">
      <c r="A102" s="55"/>
      <c r="B102" s="55"/>
      <c r="C102" s="56"/>
      <c r="D102" s="56"/>
      <c r="E102" s="179"/>
      <c r="F102" s="179"/>
      <c r="G102" s="179"/>
      <c r="H102" s="179"/>
      <c r="I102" s="179"/>
      <c r="J102" s="179"/>
      <c r="K102" s="179"/>
      <c r="L102" s="179"/>
      <c r="M102" s="183"/>
      <c r="N102" s="183"/>
      <c r="O102" s="183"/>
      <c r="P102" s="183"/>
      <c r="Q102" s="183"/>
      <c r="R102" s="184"/>
      <c r="S102" s="184"/>
      <c r="T102" s="183"/>
      <c r="U102" s="183"/>
      <c r="V102" s="183"/>
      <c r="W102" s="183"/>
      <c r="X102" s="183"/>
      <c r="Y102" s="185"/>
      <c r="Z102" s="185"/>
      <c r="AA102" s="58"/>
      <c r="AB102" s="59"/>
      <c r="AC102" s="179"/>
      <c r="AD102" s="179"/>
      <c r="AE102" s="179"/>
      <c r="AF102" s="179"/>
      <c r="AG102" s="179"/>
      <c r="AH102" s="179"/>
      <c r="AI102" s="179"/>
      <c r="AJ102" s="179"/>
      <c r="AK102" s="179"/>
      <c r="AL102" s="61"/>
      <c r="AM102" s="61"/>
      <c r="AN102" s="65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</row>
    <row r="103" spans="1:58" ht="18.75" customHeight="1" thickBot="1">
      <c r="A103" s="55"/>
      <c r="B103" s="55"/>
      <c r="C103" s="56"/>
      <c r="D103" s="56"/>
      <c r="E103" s="57"/>
      <c r="F103" s="57"/>
      <c r="G103" s="57"/>
      <c r="H103" s="57"/>
      <c r="I103" s="57"/>
      <c r="J103" s="57"/>
      <c r="K103" s="57"/>
      <c r="L103" s="57"/>
      <c r="M103" s="57"/>
      <c r="N103" s="58"/>
      <c r="O103" s="58"/>
      <c r="P103" s="59"/>
      <c r="Q103" s="57"/>
      <c r="R103" s="57"/>
      <c r="S103" s="57"/>
      <c r="T103" s="57"/>
      <c r="U103" s="57"/>
      <c r="V103" s="57"/>
      <c r="W103" s="57"/>
      <c r="X103" s="57"/>
      <c r="Y103" s="57"/>
      <c r="Z103" s="58"/>
      <c r="AA103" s="58"/>
      <c r="AB103" s="59"/>
      <c r="AC103" s="57"/>
      <c r="AD103" s="57"/>
      <c r="AE103" s="57"/>
      <c r="AF103" s="57"/>
      <c r="AG103" s="57"/>
      <c r="AH103" s="57"/>
      <c r="AI103" s="57"/>
      <c r="AJ103" s="57"/>
      <c r="AK103" s="57"/>
      <c r="AL103" s="61"/>
      <c r="AM103" s="61"/>
      <c r="AN103" s="65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</row>
    <row r="104" spans="1:58" ht="23.1" customHeight="1">
      <c r="A104" s="510" t="s">
        <v>55</v>
      </c>
      <c r="B104" s="511"/>
      <c r="C104" s="658" t="s">
        <v>52</v>
      </c>
      <c r="D104" s="659"/>
      <c r="E104" s="665" t="s">
        <v>32</v>
      </c>
      <c r="F104" s="666"/>
      <c r="G104" s="666"/>
      <c r="H104" s="666"/>
      <c r="I104" s="666"/>
      <c r="J104" s="666"/>
      <c r="K104" s="666"/>
      <c r="L104" s="666"/>
      <c r="M104" s="666"/>
      <c r="N104" s="666"/>
      <c r="O104" s="666"/>
      <c r="P104" s="666"/>
      <c r="Q104" s="666"/>
      <c r="R104" s="666"/>
      <c r="S104" s="666"/>
      <c r="T104" s="667"/>
      <c r="U104" s="668" t="s">
        <v>53</v>
      </c>
      <c r="V104" s="669"/>
      <c r="W104" s="669"/>
      <c r="X104" s="669"/>
      <c r="Y104" s="669"/>
      <c r="Z104" s="669"/>
      <c r="AA104" s="669"/>
      <c r="AB104" s="670"/>
      <c r="AC104" s="673" t="s">
        <v>130</v>
      </c>
      <c r="AD104" s="669"/>
      <c r="AE104" s="669"/>
      <c r="AF104" s="669"/>
      <c r="AG104" s="669"/>
      <c r="AH104" s="669"/>
      <c r="AI104" s="669"/>
      <c r="AJ104" s="669"/>
      <c r="AK104" s="669"/>
      <c r="AL104" s="669"/>
      <c r="AM104" s="669"/>
      <c r="AN104" s="674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</row>
    <row r="105" spans="1:58" ht="23.1" customHeight="1" thickBot="1">
      <c r="A105" s="512"/>
      <c r="B105" s="513"/>
      <c r="C105" s="660"/>
      <c r="D105" s="661"/>
      <c r="E105" s="741" t="s">
        <v>46</v>
      </c>
      <c r="F105" s="742"/>
      <c r="G105" s="742"/>
      <c r="H105" s="742"/>
      <c r="I105" s="742"/>
      <c r="J105" s="742"/>
      <c r="K105" s="743"/>
      <c r="L105" s="743"/>
      <c r="M105" s="744" t="s">
        <v>47</v>
      </c>
      <c r="N105" s="744"/>
      <c r="O105" s="744"/>
      <c r="P105" s="744"/>
      <c r="Q105" s="744"/>
      <c r="R105" s="744"/>
      <c r="S105" s="745"/>
      <c r="T105" s="746"/>
      <c r="U105" s="671"/>
      <c r="V105" s="671"/>
      <c r="W105" s="671"/>
      <c r="X105" s="671"/>
      <c r="Y105" s="671"/>
      <c r="Z105" s="671"/>
      <c r="AA105" s="671"/>
      <c r="AB105" s="672"/>
      <c r="AC105" s="675"/>
      <c r="AD105" s="671"/>
      <c r="AE105" s="671"/>
      <c r="AF105" s="671"/>
      <c r="AG105" s="671"/>
      <c r="AH105" s="671"/>
      <c r="AI105" s="671"/>
      <c r="AJ105" s="671"/>
      <c r="AK105" s="671"/>
      <c r="AL105" s="671"/>
      <c r="AM105" s="671"/>
      <c r="AN105" s="676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</row>
    <row r="106" spans="1:58" ht="23.1" customHeight="1" thickTop="1">
      <c r="A106" s="512"/>
      <c r="B106" s="513"/>
      <c r="C106" s="660"/>
      <c r="D106" s="662"/>
      <c r="E106" s="711">
        <f>需要・供給量試算シミュレーション!P9</f>
        <v>11001</v>
      </c>
      <c r="F106" s="712"/>
      <c r="G106" s="712"/>
      <c r="H106" s="712"/>
      <c r="I106" s="712"/>
      <c r="J106" s="713"/>
      <c r="K106" s="105"/>
      <c r="L106" s="105"/>
      <c r="M106" s="711">
        <f>需要・供給量試算シミュレーション!P10</f>
        <v>1704</v>
      </c>
      <c r="N106" s="712"/>
      <c r="O106" s="712"/>
      <c r="P106" s="712"/>
      <c r="Q106" s="712"/>
      <c r="R106" s="713"/>
      <c r="S106" s="61"/>
      <c r="T106" s="106"/>
      <c r="U106" s="717">
        <v>1.78</v>
      </c>
      <c r="V106" s="718"/>
      <c r="W106" s="718"/>
      <c r="X106" s="718"/>
      <c r="Y106" s="718"/>
      <c r="Z106" s="718"/>
      <c r="AA106" s="721" t="s">
        <v>38</v>
      </c>
      <c r="AB106" s="722"/>
      <c r="AC106" s="736">
        <f>G108*U106</f>
        <v>22614.9</v>
      </c>
      <c r="AD106" s="737"/>
      <c r="AE106" s="737"/>
      <c r="AF106" s="737"/>
      <c r="AG106" s="737"/>
      <c r="AH106" s="737"/>
      <c r="AI106" s="737"/>
      <c r="AJ106" s="737"/>
      <c r="AK106" s="737"/>
      <c r="AL106" s="727" t="s">
        <v>38</v>
      </c>
      <c r="AM106" s="727"/>
      <c r="AN106" s="728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</row>
    <row r="107" spans="1:58" ht="23.1" customHeight="1" thickBot="1">
      <c r="A107" s="512"/>
      <c r="B107" s="513"/>
      <c r="C107" s="660"/>
      <c r="D107" s="662"/>
      <c r="E107" s="714"/>
      <c r="F107" s="715"/>
      <c r="G107" s="715"/>
      <c r="H107" s="715"/>
      <c r="I107" s="715"/>
      <c r="J107" s="716"/>
      <c r="K107" s="733" t="s">
        <v>48</v>
      </c>
      <c r="L107" s="733"/>
      <c r="M107" s="714"/>
      <c r="N107" s="715"/>
      <c r="O107" s="715"/>
      <c r="P107" s="715"/>
      <c r="Q107" s="715"/>
      <c r="R107" s="716"/>
      <c r="S107" s="625" t="s">
        <v>48</v>
      </c>
      <c r="T107" s="626"/>
      <c r="U107" s="719"/>
      <c r="V107" s="720"/>
      <c r="W107" s="720"/>
      <c r="X107" s="720"/>
      <c r="Y107" s="720"/>
      <c r="Z107" s="720"/>
      <c r="AA107" s="723"/>
      <c r="AB107" s="724"/>
      <c r="AC107" s="738"/>
      <c r="AD107" s="739"/>
      <c r="AE107" s="739"/>
      <c r="AF107" s="739"/>
      <c r="AG107" s="739"/>
      <c r="AH107" s="739"/>
      <c r="AI107" s="739"/>
      <c r="AJ107" s="739"/>
      <c r="AK107" s="739"/>
      <c r="AL107" s="729"/>
      <c r="AM107" s="729"/>
      <c r="AN107" s="730"/>
    </row>
    <row r="108" spans="1:58" ht="23.1" customHeight="1" thickTop="1">
      <c r="A108" s="512"/>
      <c r="B108" s="513"/>
      <c r="C108" s="660"/>
      <c r="D108" s="661"/>
      <c r="E108" s="598" t="s">
        <v>49</v>
      </c>
      <c r="F108" s="599"/>
      <c r="G108" s="602">
        <f>E106+M106</f>
        <v>12705</v>
      </c>
      <c r="H108" s="602"/>
      <c r="I108" s="602"/>
      <c r="J108" s="602"/>
      <c r="K108" s="603"/>
      <c r="L108" s="603"/>
      <c r="M108" s="602"/>
      <c r="N108" s="602"/>
      <c r="O108" s="602"/>
      <c r="P108" s="602"/>
      <c r="Q108" s="602"/>
      <c r="R108" s="602"/>
      <c r="S108" s="107"/>
      <c r="T108" s="108"/>
      <c r="U108" s="719"/>
      <c r="V108" s="720"/>
      <c r="W108" s="720"/>
      <c r="X108" s="720"/>
      <c r="Y108" s="720"/>
      <c r="Z108" s="720"/>
      <c r="AA108" s="723"/>
      <c r="AB108" s="724"/>
      <c r="AC108" s="738"/>
      <c r="AD108" s="739"/>
      <c r="AE108" s="739"/>
      <c r="AF108" s="739"/>
      <c r="AG108" s="739"/>
      <c r="AH108" s="739"/>
      <c r="AI108" s="739"/>
      <c r="AJ108" s="739"/>
      <c r="AK108" s="739"/>
      <c r="AL108" s="729"/>
      <c r="AM108" s="729"/>
      <c r="AN108" s="730"/>
    </row>
    <row r="109" spans="1:58" ht="23.1" customHeight="1" thickBot="1">
      <c r="A109" s="512"/>
      <c r="B109" s="513"/>
      <c r="C109" s="663"/>
      <c r="D109" s="664"/>
      <c r="E109" s="600"/>
      <c r="F109" s="601"/>
      <c r="G109" s="604"/>
      <c r="H109" s="604"/>
      <c r="I109" s="604"/>
      <c r="J109" s="604"/>
      <c r="K109" s="604"/>
      <c r="L109" s="604"/>
      <c r="M109" s="604"/>
      <c r="N109" s="604"/>
      <c r="O109" s="604"/>
      <c r="P109" s="604"/>
      <c r="Q109" s="604"/>
      <c r="R109" s="604"/>
      <c r="S109" s="605" t="s">
        <v>48</v>
      </c>
      <c r="T109" s="606"/>
      <c r="U109" s="586"/>
      <c r="V109" s="587"/>
      <c r="W109" s="587"/>
      <c r="X109" s="587"/>
      <c r="Y109" s="587"/>
      <c r="Z109" s="587"/>
      <c r="AA109" s="725"/>
      <c r="AB109" s="726"/>
      <c r="AC109" s="561"/>
      <c r="AD109" s="562"/>
      <c r="AE109" s="562"/>
      <c r="AF109" s="562"/>
      <c r="AG109" s="562"/>
      <c r="AH109" s="562"/>
      <c r="AI109" s="562"/>
      <c r="AJ109" s="562"/>
      <c r="AK109" s="562"/>
      <c r="AL109" s="731"/>
      <c r="AM109" s="731"/>
      <c r="AN109" s="732"/>
    </row>
    <row r="110" spans="1:58" ht="23.1" customHeight="1">
      <c r="A110" s="512"/>
      <c r="B110" s="513"/>
      <c r="C110" s="658" t="s">
        <v>54</v>
      </c>
      <c r="D110" s="659"/>
      <c r="E110" s="581" t="s">
        <v>106</v>
      </c>
      <c r="F110" s="544"/>
      <c r="G110" s="544"/>
      <c r="H110" s="544"/>
      <c r="I110" s="544"/>
      <c r="J110" s="544"/>
      <c r="K110" s="544"/>
      <c r="L110" s="544"/>
      <c r="M110" s="544"/>
      <c r="N110" s="525"/>
      <c r="O110" s="525"/>
      <c r="P110" s="526"/>
      <c r="Q110" s="582" t="s">
        <v>112</v>
      </c>
      <c r="R110" s="525"/>
      <c r="S110" s="525"/>
      <c r="T110" s="525"/>
      <c r="U110" s="525"/>
      <c r="V110" s="525"/>
      <c r="W110" s="525"/>
      <c r="X110" s="525"/>
      <c r="Y110" s="525"/>
      <c r="Z110" s="525"/>
      <c r="AA110" s="525"/>
      <c r="AB110" s="526"/>
      <c r="AC110" s="583" t="s">
        <v>120</v>
      </c>
      <c r="AD110" s="525"/>
      <c r="AE110" s="525"/>
      <c r="AF110" s="525"/>
      <c r="AG110" s="525"/>
      <c r="AH110" s="525"/>
      <c r="AI110" s="525"/>
      <c r="AJ110" s="525"/>
      <c r="AK110" s="525"/>
      <c r="AL110" s="525"/>
      <c r="AM110" s="525"/>
      <c r="AN110" s="530"/>
    </row>
    <row r="111" spans="1:58" ht="23.1" customHeight="1" thickBot="1">
      <c r="A111" s="512"/>
      <c r="B111" s="513"/>
      <c r="C111" s="660"/>
      <c r="D111" s="661"/>
      <c r="E111" s="527"/>
      <c r="F111" s="528"/>
      <c r="G111" s="528"/>
      <c r="H111" s="528"/>
      <c r="I111" s="528"/>
      <c r="J111" s="528"/>
      <c r="K111" s="528"/>
      <c r="L111" s="528"/>
      <c r="M111" s="528"/>
      <c r="N111" s="528"/>
      <c r="O111" s="528"/>
      <c r="P111" s="529"/>
      <c r="Q111" s="527"/>
      <c r="R111" s="528"/>
      <c r="S111" s="528"/>
      <c r="T111" s="528"/>
      <c r="U111" s="528"/>
      <c r="V111" s="528"/>
      <c r="W111" s="528"/>
      <c r="X111" s="528"/>
      <c r="Y111" s="528"/>
      <c r="Z111" s="528"/>
      <c r="AA111" s="528"/>
      <c r="AB111" s="529"/>
      <c r="AC111" s="527"/>
      <c r="AD111" s="528"/>
      <c r="AE111" s="528"/>
      <c r="AF111" s="528"/>
      <c r="AG111" s="528"/>
      <c r="AH111" s="528"/>
      <c r="AI111" s="528"/>
      <c r="AJ111" s="528"/>
      <c r="AK111" s="528"/>
      <c r="AL111" s="528"/>
      <c r="AM111" s="528"/>
      <c r="AN111" s="531"/>
    </row>
    <row r="112" spans="1:58" ht="23.1" customHeight="1" thickTop="1">
      <c r="A112" s="512"/>
      <c r="B112" s="513"/>
      <c r="C112" s="660"/>
      <c r="D112" s="662"/>
      <c r="E112" s="589">
        <f>需要・供給量試算シミュレーション!P13</f>
        <v>438.01100105204404</v>
      </c>
      <c r="F112" s="590"/>
      <c r="G112" s="590"/>
      <c r="H112" s="590"/>
      <c r="I112" s="590"/>
      <c r="J112" s="590"/>
      <c r="K112" s="590"/>
      <c r="L112" s="590"/>
      <c r="M112" s="591"/>
      <c r="N112" s="107"/>
      <c r="O112" s="107"/>
      <c r="P112" s="108"/>
      <c r="Q112" s="584">
        <f>Q91</f>
        <v>49.960111317200003</v>
      </c>
      <c r="R112" s="585"/>
      <c r="S112" s="585"/>
      <c r="T112" s="585"/>
      <c r="U112" s="585"/>
      <c r="V112" s="585"/>
      <c r="W112" s="585"/>
      <c r="X112" s="585"/>
      <c r="Y112" s="585"/>
      <c r="Z112" s="107"/>
      <c r="AA112" s="107"/>
      <c r="AB112" s="108"/>
      <c r="AC112" s="559">
        <f>需要・供給量試算シミュレーション!P15</f>
        <v>21883.078370718329</v>
      </c>
      <c r="AD112" s="560"/>
      <c r="AE112" s="560"/>
      <c r="AF112" s="560"/>
      <c r="AG112" s="560"/>
      <c r="AH112" s="560"/>
      <c r="AI112" s="560"/>
      <c r="AJ112" s="560"/>
      <c r="AK112" s="560"/>
      <c r="AL112" s="109"/>
      <c r="AM112" s="109"/>
      <c r="AN112" s="110"/>
    </row>
    <row r="113" spans="1:40" ht="23.1" customHeight="1" thickBot="1">
      <c r="A113" s="514"/>
      <c r="B113" s="515"/>
      <c r="C113" s="663"/>
      <c r="D113" s="740"/>
      <c r="E113" s="592"/>
      <c r="F113" s="593"/>
      <c r="G113" s="593"/>
      <c r="H113" s="593"/>
      <c r="I113" s="593"/>
      <c r="J113" s="593"/>
      <c r="K113" s="593"/>
      <c r="L113" s="593"/>
      <c r="M113" s="594"/>
      <c r="N113" s="111"/>
      <c r="O113" s="111"/>
      <c r="P113" s="112" t="s">
        <v>42</v>
      </c>
      <c r="Q113" s="586"/>
      <c r="R113" s="587"/>
      <c r="S113" s="587"/>
      <c r="T113" s="587"/>
      <c r="U113" s="587"/>
      <c r="V113" s="587"/>
      <c r="W113" s="587"/>
      <c r="X113" s="587"/>
      <c r="Y113" s="587"/>
      <c r="Z113" s="111"/>
      <c r="AA113" s="111"/>
      <c r="AB113" s="112" t="s">
        <v>38</v>
      </c>
      <c r="AC113" s="561"/>
      <c r="AD113" s="562"/>
      <c r="AE113" s="562"/>
      <c r="AF113" s="562"/>
      <c r="AG113" s="562"/>
      <c r="AH113" s="562"/>
      <c r="AI113" s="562"/>
      <c r="AJ113" s="562"/>
      <c r="AK113" s="562"/>
      <c r="AL113" s="113"/>
      <c r="AM113" s="113"/>
      <c r="AN113" s="114" t="s">
        <v>38</v>
      </c>
    </row>
    <row r="116" spans="1:40" ht="14.25" thickBot="1"/>
    <row r="117" spans="1:40" ht="20.100000000000001" customHeight="1">
      <c r="M117" s="734" t="s">
        <v>107</v>
      </c>
      <c r="N117" s="669"/>
      <c r="O117" s="669"/>
      <c r="P117" s="669"/>
      <c r="Q117" s="669"/>
      <c r="R117" s="669"/>
      <c r="S117" s="670"/>
      <c r="T117" s="673" t="s">
        <v>108</v>
      </c>
      <c r="U117" s="669"/>
      <c r="V117" s="669"/>
      <c r="W117" s="669"/>
      <c r="X117" s="669"/>
      <c r="Y117" s="669"/>
      <c r="Z117" s="674"/>
    </row>
    <row r="118" spans="1:40" ht="20.100000000000001" customHeight="1">
      <c r="M118" s="735"/>
      <c r="N118" s="671"/>
      <c r="O118" s="671"/>
      <c r="P118" s="671"/>
      <c r="Q118" s="671"/>
      <c r="R118" s="671"/>
      <c r="S118" s="672"/>
      <c r="T118" s="675"/>
      <c r="U118" s="671"/>
      <c r="V118" s="671"/>
      <c r="W118" s="671"/>
      <c r="X118" s="671"/>
      <c r="Y118" s="671"/>
      <c r="Z118" s="676"/>
    </row>
    <row r="119" spans="1:40" ht="20.100000000000001" customHeight="1">
      <c r="M119" s="617">
        <f>ROUNDUP(AC112-AC106,0)</f>
        <v>-732</v>
      </c>
      <c r="N119" s="618"/>
      <c r="O119" s="618"/>
      <c r="P119" s="618"/>
      <c r="Q119" s="618"/>
      <c r="R119" s="109"/>
      <c r="S119" s="129"/>
      <c r="T119" s="621">
        <f>ROUNDUP(M119/Q112,0)</f>
        <v>-15</v>
      </c>
      <c r="U119" s="618"/>
      <c r="V119" s="618"/>
      <c r="W119" s="618"/>
      <c r="X119" s="618"/>
      <c r="Y119" s="109"/>
      <c r="Z119" s="110"/>
    </row>
    <row r="120" spans="1:40" ht="20.100000000000001" customHeight="1" thickBot="1">
      <c r="M120" s="619"/>
      <c r="N120" s="620"/>
      <c r="O120" s="620"/>
      <c r="P120" s="620"/>
      <c r="Q120" s="620"/>
      <c r="R120" s="623" t="s">
        <v>38</v>
      </c>
      <c r="S120" s="624"/>
      <c r="T120" s="622"/>
      <c r="U120" s="620"/>
      <c r="V120" s="620"/>
      <c r="W120" s="620"/>
      <c r="X120" s="620"/>
      <c r="Y120" s="627" t="s">
        <v>41</v>
      </c>
      <c r="Z120" s="628"/>
    </row>
  </sheetData>
  <mergeCells count="131">
    <mergeCell ref="T117:Z118"/>
    <mergeCell ref="E108:F109"/>
    <mergeCell ref="G108:R109"/>
    <mergeCell ref="S109:T109"/>
    <mergeCell ref="M119:Q120"/>
    <mergeCell ref="T119:X120"/>
    <mergeCell ref="AA106:AB109"/>
    <mergeCell ref="AC106:AK109"/>
    <mergeCell ref="AL106:AN109"/>
    <mergeCell ref="K107:L107"/>
    <mergeCell ref="S107:T107"/>
    <mergeCell ref="M117:S118"/>
    <mergeCell ref="E110:P111"/>
    <mergeCell ref="Q110:AB111"/>
    <mergeCell ref="AC110:AN111"/>
    <mergeCell ref="R120:S120"/>
    <mergeCell ref="Y120:Z120"/>
    <mergeCell ref="A104:B113"/>
    <mergeCell ref="C104:D109"/>
    <mergeCell ref="E104:T104"/>
    <mergeCell ref="U104:AB105"/>
    <mergeCell ref="AC104:AN105"/>
    <mergeCell ref="E105:L105"/>
    <mergeCell ref="M105:T105"/>
    <mergeCell ref="E106:J107"/>
    <mergeCell ref="M106:R107"/>
    <mergeCell ref="U106:Z109"/>
    <mergeCell ref="C110:D113"/>
    <mergeCell ref="E112:M113"/>
    <mergeCell ref="Q112:Y113"/>
    <mergeCell ref="AC112:AK113"/>
    <mergeCell ref="C89:D92"/>
    <mergeCell ref="E89:P90"/>
    <mergeCell ref="Q89:AB90"/>
    <mergeCell ref="AC89:AN90"/>
    <mergeCell ref="R99:S99"/>
    <mergeCell ref="Y99:Z99"/>
    <mergeCell ref="E91:M92"/>
    <mergeCell ref="Q91:Y92"/>
    <mergeCell ref="AC91:AK92"/>
    <mergeCell ref="AL85:AN88"/>
    <mergeCell ref="K86:L86"/>
    <mergeCell ref="S86:T86"/>
    <mergeCell ref="M96:S97"/>
    <mergeCell ref="T96:Z97"/>
    <mergeCell ref="E87:F88"/>
    <mergeCell ref="G87:R88"/>
    <mergeCell ref="S88:T88"/>
    <mergeCell ref="M98:Q99"/>
    <mergeCell ref="T98:X99"/>
    <mergeCell ref="AC85:AK88"/>
    <mergeCell ref="Y64:Z64"/>
    <mergeCell ref="M38:T38"/>
    <mergeCell ref="E39:L42"/>
    <mergeCell ref="M39:T42"/>
    <mergeCell ref="U39:AB44"/>
    <mergeCell ref="AC39:AN44"/>
    <mergeCell ref="A83:B92"/>
    <mergeCell ref="C83:D88"/>
    <mergeCell ref="E83:T83"/>
    <mergeCell ref="U83:AB84"/>
    <mergeCell ref="AC83:AN84"/>
    <mergeCell ref="E84:L84"/>
    <mergeCell ref="M63:Q64"/>
    <mergeCell ref="T63:X64"/>
    <mergeCell ref="E49:P52"/>
    <mergeCell ref="Q49:AB52"/>
    <mergeCell ref="AC49:AN52"/>
    <mergeCell ref="R64:S64"/>
    <mergeCell ref="A37:B54"/>
    <mergeCell ref="M84:T84"/>
    <mergeCell ref="E85:J86"/>
    <mergeCell ref="M85:R86"/>
    <mergeCell ref="U85:Z88"/>
    <mergeCell ref="AA85:AB88"/>
    <mergeCell ref="M59:S62"/>
    <mergeCell ref="T59:Z62"/>
    <mergeCell ref="E45:F46"/>
    <mergeCell ref="G45:R46"/>
    <mergeCell ref="S46:T46"/>
    <mergeCell ref="AA46:AB46"/>
    <mergeCell ref="M26:S27"/>
    <mergeCell ref="T26:Z27"/>
    <mergeCell ref="E13:M14"/>
    <mergeCell ref="Q13:Y14"/>
    <mergeCell ref="E17:P20"/>
    <mergeCell ref="M32:Q33"/>
    <mergeCell ref="T32:X33"/>
    <mergeCell ref="R33:S33"/>
    <mergeCell ref="T57:Z58"/>
    <mergeCell ref="E43:J44"/>
    <mergeCell ref="M43:R44"/>
    <mergeCell ref="K44:L44"/>
    <mergeCell ref="S44:T44"/>
    <mergeCell ref="M57:S58"/>
    <mergeCell ref="Y33:Z33"/>
    <mergeCell ref="E21:M22"/>
    <mergeCell ref="Q21:Y22"/>
    <mergeCell ref="E37:T37"/>
    <mergeCell ref="M28:S31"/>
    <mergeCell ref="T28:Z31"/>
    <mergeCell ref="E15:P16"/>
    <mergeCell ref="Q15:AB16"/>
    <mergeCell ref="AC15:AN16"/>
    <mergeCell ref="C47:D54"/>
    <mergeCell ref="E47:P48"/>
    <mergeCell ref="Q47:AB48"/>
    <mergeCell ref="AC47:AN48"/>
    <mergeCell ref="U45:Z46"/>
    <mergeCell ref="C37:D46"/>
    <mergeCell ref="E53:M54"/>
    <mergeCell ref="Q53:Y54"/>
    <mergeCell ref="AC53:AK54"/>
    <mergeCell ref="AC45:AK46"/>
    <mergeCell ref="AC21:AK22"/>
    <mergeCell ref="U37:AB38"/>
    <mergeCell ref="AC37:AN38"/>
    <mergeCell ref="E38:L38"/>
    <mergeCell ref="A3:AM4"/>
    <mergeCell ref="A7:B22"/>
    <mergeCell ref="C7:D14"/>
    <mergeCell ref="E7:P8"/>
    <mergeCell ref="Q7:AB8"/>
    <mergeCell ref="AC7:AN8"/>
    <mergeCell ref="E9:P12"/>
    <mergeCell ref="Q9:AB12"/>
    <mergeCell ref="AC9:AN12"/>
    <mergeCell ref="C15:D22"/>
    <mergeCell ref="Q17:AB20"/>
    <mergeCell ref="AC17:AN20"/>
    <mergeCell ref="AC13:AK14"/>
  </mergeCells>
  <phoneticPr fontId="6"/>
  <pageMargins left="0.70866141732283472" right="0.70866141732283472" top="0.55118110236220474" bottom="0.35433070866141736" header="0.31496062992125984" footer="0.31496062992125984"/>
  <pageSetup paperSize="9" scale="60" fitToHeight="2" orientation="portrait" r:id="rId1"/>
  <rowBreaks count="1" manualBreakCount="1">
    <brk id="78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シート①</vt:lpstr>
      <vt:lpstr>需要・供給量試算シミュレーション</vt:lpstr>
      <vt:lpstr>2025年に向けた訪問診療必要数の試算シート</vt:lpstr>
      <vt:lpstr>'2025年に向けた訪問診療必要数の試算シート'!Print_Area</vt:lpstr>
      <vt:lpstr>需要・供給量試算シミュレーション!Print_Area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堺市</cp:lastModifiedBy>
  <cp:lastPrinted>2017-11-14T08:55:57Z</cp:lastPrinted>
  <dcterms:created xsi:type="dcterms:W3CDTF">2017-09-11T02:00:06Z</dcterms:created>
  <dcterms:modified xsi:type="dcterms:W3CDTF">2017-11-15T02:32:30Z</dcterms:modified>
</cp:coreProperties>
</file>