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0374\小中高振興Ｇ\33_R3年度フォルダ\ち_R3調査（文科省）\030914_体罰に係る実態把握について\02学校へ\"/>
    </mc:Choice>
  </mc:AlternateContent>
  <bookViews>
    <workbookView xWindow="0" yWindow="0" windowWidth="28800" windowHeight="12390"/>
  </bookViews>
  <sheets>
    <sheet name="回答様式" sheetId="1" r:id="rId1"/>
  </sheets>
  <externalReferences>
    <externalReference r:id="rId2"/>
  </externalReferences>
  <definedNames>
    <definedName name="_xlnm.Print_Area" localSheetId="0">回答様式!$A$1:$BO$42</definedName>
    <definedName name="_xlnm.Print_Titles" localSheetId="0">回答様式!$5:$8</definedName>
    <definedName name="Z_48A2FC4F_1392_43EA_BA5B_A2639390C8CB_.wvu.PrintArea" localSheetId="0" hidden="1">回答様式!$A$1:$BO$28</definedName>
    <definedName name="Z_48A2FC4F_1392_43EA_BA5B_A2639390C8CB_.wvu.PrintTitles" localSheetId="0" hidden="1">回答様式!$5:$8</definedName>
    <definedName name="県市名">[1]リスト!$A$1:$A$67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49" i="1" l="1"/>
  <c r="DS49" i="1"/>
  <c r="DR49" i="1"/>
  <c r="DQ49" i="1"/>
  <c r="DP49" i="1"/>
  <c r="DO49" i="1"/>
  <c r="DN49" i="1"/>
  <c r="DM49" i="1"/>
  <c r="DL49" i="1"/>
  <c r="DK49" i="1"/>
  <c r="DJ49" i="1"/>
  <c r="DI49" i="1"/>
  <c r="DH49" i="1"/>
  <c r="DG49" i="1"/>
  <c r="DF49" i="1"/>
  <c r="DE49" i="1"/>
  <c r="DD49" i="1"/>
  <c r="DC49" i="1"/>
  <c r="DB49" i="1"/>
  <c r="DA49" i="1"/>
  <c r="CZ49" i="1"/>
  <c r="CY49" i="1"/>
  <c r="CX49" i="1"/>
  <c r="CW49" i="1"/>
  <c r="CV49" i="1"/>
  <c r="CU49" i="1"/>
  <c r="CT49" i="1"/>
  <c r="CS49" i="1"/>
  <c r="CR49" i="1"/>
  <c r="CQ49" i="1"/>
  <c r="CP49" i="1"/>
  <c r="CO49" i="1"/>
  <c r="CN49" i="1"/>
  <c r="CM49" i="1"/>
  <c r="CL49" i="1"/>
  <c r="CK49" i="1"/>
  <c r="CJ49" i="1"/>
  <c r="CI49" i="1"/>
  <c r="CH49" i="1"/>
  <c r="CG49" i="1"/>
  <c r="CF49" i="1"/>
  <c r="CE49" i="1"/>
  <c r="CD49" i="1"/>
  <c r="CC49" i="1"/>
  <c r="CB49" i="1"/>
  <c r="BZ49" i="1"/>
  <c r="BY49" i="1"/>
  <c r="BX49" i="1"/>
  <c r="BW49" i="1"/>
  <c r="BV49" i="1"/>
  <c r="BU49" i="1"/>
  <c r="BT49" i="1"/>
  <c r="BS49" i="1"/>
  <c r="BR49" i="1"/>
  <c r="CK54" i="1"/>
  <c r="CK53" i="1"/>
  <c r="CK52" i="1"/>
  <c r="CK51" i="1"/>
  <c r="CK50" i="1"/>
  <c r="CK48" i="1"/>
  <c r="CK47" i="1"/>
  <c r="CI54" i="1"/>
  <c r="CI53" i="1"/>
  <c r="CI52" i="1"/>
  <c r="CI51" i="1"/>
  <c r="CI50" i="1"/>
  <c r="CI48" i="1"/>
  <c r="CI47" i="1"/>
  <c r="CA53" i="1"/>
  <c r="CA47" i="1"/>
  <c r="BV47" i="1"/>
  <c r="BU47" i="1"/>
  <c r="BT47" i="1"/>
  <c r="BX47" i="1"/>
  <c r="BW47" i="1"/>
  <c r="BR47" i="1"/>
  <c r="DT47" i="1"/>
  <c r="DS47" i="1"/>
  <c r="DR47" i="1"/>
  <c r="DQ47" i="1"/>
  <c r="DP47" i="1"/>
  <c r="DO47" i="1"/>
  <c r="DN47" i="1"/>
  <c r="DM47" i="1"/>
  <c r="DL47" i="1"/>
  <c r="DK47" i="1"/>
  <c r="DJ47" i="1"/>
  <c r="DI47" i="1"/>
  <c r="DH47" i="1"/>
  <c r="DG47" i="1"/>
  <c r="DF47" i="1"/>
  <c r="DE47" i="1"/>
  <c r="DD47" i="1"/>
  <c r="DC47" i="1"/>
  <c r="DB47" i="1"/>
  <c r="DA47" i="1"/>
  <c r="CZ47" i="1"/>
  <c r="CY47" i="1"/>
  <c r="CX47" i="1"/>
  <c r="CW47" i="1"/>
  <c r="CV47" i="1"/>
  <c r="CU47" i="1"/>
  <c r="CT47" i="1"/>
  <c r="CS47" i="1"/>
  <c r="CR47" i="1"/>
  <c r="CQ47" i="1"/>
  <c r="CP47" i="1"/>
  <c r="CO47" i="1"/>
  <c r="CN47" i="1"/>
  <c r="CM47" i="1"/>
  <c r="CL47" i="1"/>
  <c r="CJ47" i="1"/>
  <c r="CH47" i="1"/>
  <c r="CG47" i="1"/>
  <c r="CF47" i="1"/>
  <c r="CE47" i="1"/>
  <c r="CD47" i="1"/>
  <c r="CC47" i="1"/>
  <c r="CB47" i="1"/>
  <c r="BZ47" i="1"/>
  <c r="BY47" i="1"/>
  <c r="BS47" i="1"/>
  <c r="CB48" i="1"/>
  <c r="CB54" i="1"/>
  <c r="CB53" i="1"/>
  <c r="CB52" i="1"/>
  <c r="CB51" i="1"/>
  <c r="CB50" i="1"/>
  <c r="DT54" i="1"/>
  <c r="DS54" i="1"/>
  <c r="DR54" i="1"/>
  <c r="DQ54" i="1"/>
  <c r="DP54" i="1"/>
  <c r="DO54" i="1"/>
  <c r="DN54" i="1"/>
  <c r="DM54" i="1"/>
  <c r="DL54" i="1"/>
  <c r="DK54" i="1"/>
  <c r="DJ54" i="1"/>
  <c r="DI54" i="1"/>
  <c r="DH54" i="1"/>
  <c r="DG54" i="1"/>
  <c r="DF54" i="1"/>
  <c r="DE54" i="1"/>
  <c r="DD54" i="1"/>
  <c r="DC54" i="1"/>
  <c r="DB54" i="1"/>
  <c r="DA54" i="1"/>
  <c r="CZ54" i="1"/>
  <c r="CY54" i="1"/>
  <c r="CX54" i="1"/>
  <c r="CW54" i="1"/>
  <c r="CV54" i="1"/>
  <c r="CU54" i="1"/>
  <c r="CT54" i="1"/>
  <c r="CS54" i="1"/>
  <c r="CR54" i="1"/>
  <c r="CQ54" i="1"/>
  <c r="CP54" i="1"/>
  <c r="CO54" i="1"/>
  <c r="CN54" i="1"/>
  <c r="CM54" i="1"/>
  <c r="CL54" i="1"/>
  <c r="CJ54" i="1"/>
  <c r="CH54" i="1"/>
  <c r="CG54" i="1"/>
  <c r="CF54" i="1"/>
  <c r="CE54" i="1"/>
  <c r="CD54" i="1"/>
  <c r="CC54" i="1"/>
  <c r="BZ54" i="1"/>
  <c r="BY54" i="1"/>
  <c r="BX54" i="1"/>
  <c r="BW54" i="1"/>
  <c r="BV54" i="1"/>
  <c r="BU54" i="1"/>
  <c r="BT54" i="1"/>
  <c r="BS54" i="1"/>
  <c r="BR54" i="1"/>
  <c r="DT53" i="1"/>
  <c r="DS53" i="1"/>
  <c r="DR53" i="1"/>
  <c r="DQ53" i="1"/>
  <c r="DP53" i="1"/>
  <c r="DO53" i="1"/>
  <c r="DN53" i="1"/>
  <c r="DM53" i="1"/>
  <c r="DL53" i="1"/>
  <c r="DK53" i="1"/>
  <c r="DJ53" i="1"/>
  <c r="DI53" i="1"/>
  <c r="DH53" i="1"/>
  <c r="DG53" i="1"/>
  <c r="DF53" i="1"/>
  <c r="DE53" i="1"/>
  <c r="DD53" i="1"/>
  <c r="DC53" i="1"/>
  <c r="DB53" i="1"/>
  <c r="DA53" i="1"/>
  <c r="CZ53" i="1"/>
  <c r="CY53" i="1"/>
  <c r="CX53" i="1"/>
  <c r="CW53" i="1"/>
  <c r="CV53" i="1"/>
  <c r="CU53" i="1"/>
  <c r="CT53" i="1"/>
  <c r="CS53" i="1"/>
  <c r="CR53" i="1"/>
  <c r="CQ53" i="1"/>
  <c r="CP53" i="1"/>
  <c r="CO53" i="1"/>
  <c r="CN53" i="1"/>
  <c r="CM53" i="1"/>
  <c r="CL53" i="1"/>
  <c r="CJ53" i="1"/>
  <c r="CH53" i="1"/>
  <c r="CG53" i="1"/>
  <c r="CF53" i="1"/>
  <c r="CE53" i="1"/>
  <c r="CD53" i="1"/>
  <c r="CC53" i="1"/>
  <c r="BZ53" i="1"/>
  <c r="BY53" i="1"/>
  <c r="BX53" i="1"/>
  <c r="BW53" i="1"/>
  <c r="BV53" i="1"/>
  <c r="BU53" i="1"/>
  <c r="BT53" i="1"/>
  <c r="BS53" i="1"/>
  <c r="BR53" i="1"/>
  <c r="DT52" i="1"/>
  <c r="DS52" i="1"/>
  <c r="DR52" i="1"/>
  <c r="DQ52" i="1"/>
  <c r="DP52" i="1"/>
  <c r="DO52" i="1"/>
  <c r="DN52" i="1"/>
  <c r="DM52" i="1"/>
  <c r="DL52" i="1"/>
  <c r="DK52" i="1"/>
  <c r="DJ52" i="1"/>
  <c r="DI52" i="1"/>
  <c r="DH52" i="1"/>
  <c r="DG52" i="1"/>
  <c r="DF52" i="1"/>
  <c r="DE52" i="1"/>
  <c r="DD52" i="1"/>
  <c r="DC52" i="1"/>
  <c r="DB52" i="1"/>
  <c r="DA52" i="1"/>
  <c r="CZ52" i="1"/>
  <c r="CY52" i="1"/>
  <c r="CX52" i="1"/>
  <c r="CW52" i="1"/>
  <c r="CV52" i="1"/>
  <c r="CU52" i="1"/>
  <c r="CT52" i="1"/>
  <c r="CS52" i="1"/>
  <c r="CR52" i="1"/>
  <c r="CQ52" i="1"/>
  <c r="CP52" i="1"/>
  <c r="CO52" i="1"/>
  <c r="CN52" i="1"/>
  <c r="CM52" i="1"/>
  <c r="CL52" i="1"/>
  <c r="CJ52" i="1"/>
  <c r="CH52" i="1"/>
  <c r="CG52" i="1"/>
  <c r="CF52" i="1"/>
  <c r="CE52" i="1"/>
  <c r="CD52" i="1"/>
  <c r="CC52" i="1"/>
  <c r="BZ52" i="1"/>
  <c r="BY52" i="1"/>
  <c r="BX52" i="1"/>
  <c r="BW52" i="1"/>
  <c r="BV52" i="1"/>
  <c r="BU52" i="1"/>
  <c r="BT52" i="1"/>
  <c r="BS52" i="1"/>
  <c r="BR52" i="1"/>
  <c r="DT51" i="1"/>
  <c r="DS51" i="1"/>
  <c r="DR51" i="1"/>
  <c r="DQ51" i="1"/>
  <c r="DP51" i="1"/>
  <c r="DO51" i="1"/>
  <c r="DN51" i="1"/>
  <c r="DM51" i="1"/>
  <c r="DL51" i="1"/>
  <c r="DK51" i="1"/>
  <c r="DJ51" i="1"/>
  <c r="DI51" i="1"/>
  <c r="DH51" i="1"/>
  <c r="DG51" i="1"/>
  <c r="DF51" i="1"/>
  <c r="DE51" i="1"/>
  <c r="DD51" i="1"/>
  <c r="DC51" i="1"/>
  <c r="DB51" i="1"/>
  <c r="DA51" i="1"/>
  <c r="CZ51" i="1"/>
  <c r="CY51" i="1"/>
  <c r="CX51" i="1"/>
  <c r="CW51" i="1"/>
  <c r="CV51" i="1"/>
  <c r="CU51" i="1"/>
  <c r="CT51" i="1"/>
  <c r="CS51" i="1"/>
  <c r="CR51" i="1"/>
  <c r="CQ51" i="1"/>
  <c r="CP51" i="1"/>
  <c r="CO51" i="1"/>
  <c r="CN51" i="1"/>
  <c r="CM51" i="1"/>
  <c r="CL51" i="1"/>
  <c r="CJ51" i="1"/>
  <c r="CH51" i="1"/>
  <c r="CG51" i="1"/>
  <c r="CF51" i="1"/>
  <c r="CE51" i="1"/>
  <c r="CD51" i="1"/>
  <c r="CC51" i="1"/>
  <c r="BZ51" i="1"/>
  <c r="BY51" i="1"/>
  <c r="BX51" i="1"/>
  <c r="BW51" i="1"/>
  <c r="BV51" i="1"/>
  <c r="BU51" i="1"/>
  <c r="BT51" i="1"/>
  <c r="BS51" i="1"/>
  <c r="BR51" i="1"/>
  <c r="DT50" i="1"/>
  <c r="DS50" i="1"/>
  <c r="DR50" i="1"/>
  <c r="DQ50" i="1"/>
  <c r="DP50" i="1"/>
  <c r="DO50" i="1"/>
  <c r="DN50" i="1"/>
  <c r="DM50" i="1"/>
  <c r="DL50" i="1"/>
  <c r="DK50" i="1"/>
  <c r="DJ50" i="1"/>
  <c r="DI50" i="1"/>
  <c r="DH50" i="1"/>
  <c r="DG50" i="1"/>
  <c r="DF50" i="1"/>
  <c r="DE50" i="1"/>
  <c r="DD50" i="1"/>
  <c r="DC50" i="1"/>
  <c r="DB50" i="1"/>
  <c r="DA50" i="1"/>
  <c r="CZ50" i="1"/>
  <c r="CY50" i="1"/>
  <c r="CX50" i="1"/>
  <c r="CW50" i="1"/>
  <c r="CV50" i="1"/>
  <c r="CU50" i="1"/>
  <c r="CT50" i="1"/>
  <c r="CS50" i="1"/>
  <c r="CR50" i="1"/>
  <c r="CQ50" i="1"/>
  <c r="CP50" i="1"/>
  <c r="CO50" i="1"/>
  <c r="CN50" i="1"/>
  <c r="CM50" i="1"/>
  <c r="CL50" i="1"/>
  <c r="CJ50" i="1"/>
  <c r="CH50" i="1"/>
  <c r="CG50" i="1"/>
  <c r="CF50" i="1"/>
  <c r="CE50" i="1"/>
  <c r="CD50" i="1"/>
  <c r="CC50" i="1"/>
  <c r="BZ50" i="1"/>
  <c r="BY50" i="1"/>
  <c r="BX50" i="1"/>
  <c r="BW50" i="1"/>
  <c r="BV50" i="1"/>
  <c r="BU50" i="1"/>
  <c r="BT50" i="1"/>
  <c r="BS50" i="1"/>
  <c r="BR50" i="1"/>
  <c r="DT48" i="1"/>
  <c r="DS48" i="1"/>
  <c r="DR48" i="1"/>
  <c r="DQ48" i="1"/>
  <c r="DP48" i="1"/>
  <c r="DO48" i="1"/>
  <c r="DN48" i="1"/>
  <c r="DM48" i="1"/>
  <c r="DL48" i="1"/>
  <c r="DK48" i="1"/>
  <c r="DJ48" i="1"/>
  <c r="DI48" i="1"/>
  <c r="DH48" i="1"/>
  <c r="DG48" i="1"/>
  <c r="DF48" i="1"/>
  <c r="DE48" i="1"/>
  <c r="DD48" i="1"/>
  <c r="DC48" i="1"/>
  <c r="DB48" i="1"/>
  <c r="DA48" i="1"/>
  <c r="CZ48" i="1"/>
  <c r="CY48" i="1"/>
  <c r="CX48" i="1"/>
  <c r="CW48" i="1"/>
  <c r="CV48" i="1"/>
  <c r="CU48" i="1"/>
  <c r="CT48" i="1"/>
  <c r="CS48" i="1"/>
  <c r="CR48" i="1"/>
  <c r="CQ48" i="1"/>
  <c r="CP48" i="1"/>
  <c r="CO48" i="1"/>
  <c r="CN48" i="1"/>
  <c r="CM48" i="1"/>
  <c r="CL48" i="1"/>
  <c r="CJ48" i="1"/>
  <c r="CH48" i="1"/>
  <c r="CG48" i="1"/>
  <c r="CF48" i="1"/>
  <c r="CE48" i="1"/>
  <c r="CD48" i="1"/>
  <c r="CC48" i="1"/>
  <c r="BZ48" i="1"/>
  <c r="BY48" i="1"/>
  <c r="BX48" i="1"/>
  <c r="BW48" i="1"/>
  <c r="BV48" i="1"/>
  <c r="BU48" i="1"/>
  <c r="BT48" i="1"/>
  <c r="BS48" i="1"/>
  <c r="BR48" i="1"/>
  <c r="CB46" i="1" l="1"/>
  <c r="BR46" i="1"/>
  <c r="CK46" i="1"/>
  <c r="CI46" i="1"/>
  <c r="CX63" i="1"/>
  <c r="CW63" i="1"/>
  <c r="CV63" i="1"/>
  <c r="BT63" i="1"/>
  <c r="BS63" i="1"/>
  <c r="BR63" i="1"/>
  <c r="BQ63" i="1"/>
  <c r="CI38" i="1"/>
  <c r="CH38" i="1"/>
  <c r="CG38" i="1"/>
  <c r="CF38" i="1"/>
  <c r="CE38" i="1"/>
  <c r="CD38" i="1"/>
  <c r="CC38" i="1"/>
  <c r="CI37" i="1"/>
  <c r="CH37" i="1"/>
  <c r="CG37" i="1"/>
  <c r="CF37" i="1"/>
  <c r="CE37" i="1"/>
  <c r="CD37" i="1"/>
  <c r="CC37" i="1"/>
  <c r="CI36" i="1"/>
  <c r="CH36" i="1"/>
  <c r="CG36" i="1"/>
  <c r="CF36" i="1"/>
  <c r="CE36" i="1"/>
  <c r="CD36" i="1"/>
  <c r="CC36" i="1"/>
  <c r="CI35" i="1"/>
  <c r="CH35" i="1"/>
  <c r="CG35" i="1"/>
  <c r="CF35" i="1"/>
  <c r="CE35" i="1"/>
  <c r="CD35" i="1"/>
  <c r="CC35" i="1"/>
  <c r="CI34" i="1"/>
  <c r="CH34" i="1"/>
  <c r="CG34" i="1"/>
  <c r="CF34" i="1"/>
  <c r="CE34" i="1"/>
  <c r="CD34" i="1"/>
  <c r="CC34" i="1"/>
  <c r="CI33" i="1"/>
  <c r="CH33" i="1"/>
  <c r="CG33" i="1"/>
  <c r="CF33" i="1"/>
  <c r="CE33" i="1"/>
  <c r="CD33" i="1"/>
  <c r="CC33" i="1"/>
  <c r="CI32" i="1"/>
  <c r="CH32" i="1"/>
  <c r="CG32" i="1"/>
  <c r="CF32" i="1"/>
  <c r="CE32" i="1"/>
  <c r="CD32" i="1"/>
  <c r="CC32" i="1"/>
  <c r="CI31" i="1"/>
  <c r="CH31" i="1"/>
  <c r="CG31" i="1"/>
  <c r="CF31" i="1"/>
  <c r="CE31" i="1"/>
  <c r="CD31" i="1"/>
  <c r="CC31" i="1"/>
  <c r="CI30" i="1"/>
  <c r="CH30" i="1"/>
  <c r="CG30" i="1"/>
  <c r="CF30" i="1"/>
  <c r="CE30" i="1"/>
  <c r="CD30" i="1"/>
  <c r="CC30" i="1"/>
  <c r="CI29" i="1"/>
  <c r="CH29" i="1"/>
  <c r="CG29" i="1"/>
  <c r="CF29" i="1"/>
  <c r="CE29" i="1"/>
  <c r="CD29" i="1"/>
  <c r="CC29" i="1"/>
  <c r="CI28" i="1"/>
  <c r="CH28" i="1"/>
  <c r="CG28" i="1"/>
  <c r="CF28" i="1"/>
  <c r="CE28" i="1"/>
  <c r="CD28" i="1"/>
  <c r="CC28" i="1"/>
  <c r="CI27" i="1"/>
  <c r="CH27" i="1"/>
  <c r="CG27" i="1"/>
  <c r="CF27" i="1"/>
  <c r="CE27" i="1"/>
  <c r="CD27" i="1"/>
  <c r="CC27" i="1"/>
  <c r="CI26" i="1"/>
  <c r="CH26" i="1"/>
  <c r="CG26" i="1"/>
  <c r="CF26" i="1"/>
  <c r="CE26" i="1"/>
  <c r="CD26" i="1"/>
  <c r="CC26" i="1"/>
  <c r="CI25" i="1"/>
  <c r="CH25" i="1"/>
  <c r="CG25" i="1"/>
  <c r="CF25" i="1"/>
  <c r="CE25" i="1"/>
  <c r="CD25" i="1"/>
  <c r="CC25" i="1"/>
  <c r="CI24" i="1"/>
  <c r="CH24" i="1"/>
  <c r="CG24" i="1"/>
  <c r="CF24" i="1"/>
  <c r="CE24" i="1"/>
  <c r="CD24" i="1"/>
  <c r="CC24" i="1"/>
  <c r="CI23" i="1"/>
  <c r="CH23" i="1"/>
  <c r="CG23" i="1"/>
  <c r="CF23" i="1"/>
  <c r="CE23" i="1"/>
  <c r="CD23" i="1"/>
  <c r="CC23" i="1"/>
  <c r="CI22" i="1"/>
  <c r="CH22" i="1"/>
  <c r="CG22" i="1"/>
  <c r="CF22" i="1"/>
  <c r="CE22" i="1"/>
  <c r="CD22" i="1"/>
  <c r="CC22" i="1"/>
  <c r="CI21" i="1"/>
  <c r="CH21" i="1"/>
  <c r="CG21" i="1"/>
  <c r="CF21" i="1"/>
  <c r="CE21" i="1"/>
  <c r="CD21" i="1"/>
  <c r="CC21" i="1"/>
  <c r="CI20" i="1"/>
  <c r="CH20" i="1"/>
  <c r="CG20" i="1"/>
  <c r="CF20" i="1"/>
  <c r="CE20" i="1"/>
  <c r="CD20" i="1"/>
  <c r="CC20" i="1"/>
  <c r="CI19" i="1"/>
  <c r="CH19" i="1"/>
  <c r="CG19" i="1"/>
  <c r="CF19" i="1"/>
  <c r="CE19" i="1"/>
  <c r="CD19" i="1"/>
  <c r="CC19" i="1"/>
  <c r="CI18" i="1"/>
  <c r="CH18" i="1"/>
  <c r="CG18" i="1"/>
  <c r="CF18" i="1"/>
  <c r="CE18" i="1"/>
  <c r="CD18" i="1"/>
  <c r="CC18" i="1"/>
  <c r="CI17" i="1"/>
  <c r="CH17" i="1"/>
  <c r="CG17" i="1"/>
  <c r="CF17" i="1"/>
  <c r="CE17" i="1"/>
  <c r="CD17" i="1"/>
  <c r="CC17" i="1"/>
  <c r="CI16" i="1"/>
  <c r="CH16" i="1"/>
  <c r="CG16" i="1"/>
  <c r="CF16" i="1"/>
  <c r="CE16" i="1"/>
  <c r="CD16" i="1"/>
  <c r="CC16" i="1"/>
  <c r="CI15" i="1"/>
  <c r="CH15" i="1"/>
  <c r="CG15" i="1"/>
  <c r="CF15" i="1"/>
  <c r="CE15" i="1"/>
  <c r="CD15" i="1"/>
  <c r="CC15" i="1"/>
  <c r="CI14" i="1"/>
  <c r="CH14" i="1"/>
  <c r="CG14" i="1"/>
  <c r="CF14" i="1"/>
  <c r="CE14" i="1"/>
  <c r="CD14" i="1"/>
  <c r="CC14" i="1"/>
  <c r="CI13" i="1"/>
  <c r="CH13" i="1"/>
  <c r="CG13" i="1"/>
  <c r="CF13" i="1"/>
  <c r="CE13" i="1"/>
  <c r="CD13" i="1"/>
  <c r="CC13" i="1"/>
  <c r="CI12" i="1"/>
  <c r="CH12" i="1"/>
  <c r="CG12" i="1"/>
  <c r="CF12" i="1"/>
  <c r="CE12" i="1"/>
  <c r="CD12" i="1"/>
  <c r="CC12" i="1"/>
  <c r="CI11" i="1"/>
  <c r="CH11" i="1"/>
  <c r="CG11" i="1"/>
  <c r="CF11" i="1"/>
  <c r="CE11" i="1"/>
  <c r="CD11" i="1"/>
  <c r="CC11" i="1"/>
  <c r="CI10" i="1"/>
  <c r="CH10" i="1"/>
  <c r="CG10" i="1"/>
  <c r="CF10" i="1"/>
  <c r="CE10" i="1"/>
  <c r="CD10" i="1"/>
  <c r="CC10" i="1"/>
  <c r="CI9" i="1"/>
  <c r="CH9" i="1"/>
  <c r="CG9" i="1"/>
  <c r="CF9" i="1"/>
  <c r="CE9" i="1"/>
  <c r="CD9" i="1"/>
  <c r="CC9" i="1"/>
  <c r="BZ38" i="1"/>
  <c r="BY38" i="1"/>
  <c r="BX38" i="1"/>
  <c r="BW38" i="1"/>
  <c r="BV38" i="1"/>
  <c r="BU38" i="1"/>
  <c r="BT38" i="1"/>
  <c r="BS38" i="1"/>
  <c r="BR38" i="1"/>
  <c r="BQ38" i="1"/>
  <c r="BZ37" i="1"/>
  <c r="BY37" i="1"/>
  <c r="BX37" i="1"/>
  <c r="BW37" i="1"/>
  <c r="BV37" i="1"/>
  <c r="BU37" i="1"/>
  <c r="BT37" i="1"/>
  <c r="BS37" i="1"/>
  <c r="BR37" i="1"/>
  <c r="BQ37" i="1"/>
  <c r="BZ36" i="1"/>
  <c r="BY36" i="1"/>
  <c r="BX36" i="1"/>
  <c r="BW36" i="1"/>
  <c r="BV36" i="1"/>
  <c r="BU36" i="1"/>
  <c r="BT36" i="1"/>
  <c r="BS36" i="1"/>
  <c r="BR36" i="1"/>
  <c r="BQ36" i="1"/>
  <c r="BZ35" i="1"/>
  <c r="BY35" i="1"/>
  <c r="BX35" i="1"/>
  <c r="BW35" i="1"/>
  <c r="BV35" i="1"/>
  <c r="BU35" i="1"/>
  <c r="BT35" i="1"/>
  <c r="BS35" i="1"/>
  <c r="BR35" i="1"/>
  <c r="BQ35" i="1"/>
  <c r="BZ34" i="1"/>
  <c r="BY34" i="1"/>
  <c r="BX34" i="1"/>
  <c r="BW34" i="1"/>
  <c r="BV34" i="1"/>
  <c r="BU34" i="1"/>
  <c r="BT34" i="1"/>
  <c r="BS34" i="1"/>
  <c r="BR34" i="1"/>
  <c r="BQ34" i="1"/>
  <c r="BZ33" i="1"/>
  <c r="BY33" i="1"/>
  <c r="BX33" i="1"/>
  <c r="BW33" i="1"/>
  <c r="BV33" i="1"/>
  <c r="BU33" i="1"/>
  <c r="BT33" i="1"/>
  <c r="BS33" i="1"/>
  <c r="BR33" i="1"/>
  <c r="BQ33" i="1"/>
  <c r="BZ32" i="1"/>
  <c r="BY32" i="1"/>
  <c r="BX32" i="1"/>
  <c r="BW32" i="1"/>
  <c r="BV32" i="1"/>
  <c r="BU32" i="1"/>
  <c r="BT32" i="1"/>
  <c r="BS32" i="1"/>
  <c r="BR32" i="1"/>
  <c r="BQ32" i="1"/>
  <c r="BZ31" i="1"/>
  <c r="BY31" i="1"/>
  <c r="BX31" i="1"/>
  <c r="BW31" i="1"/>
  <c r="BV31" i="1"/>
  <c r="BU31" i="1"/>
  <c r="BT31" i="1"/>
  <c r="BS31" i="1"/>
  <c r="BR31" i="1"/>
  <c r="BQ31" i="1"/>
  <c r="BZ30" i="1"/>
  <c r="BY30" i="1"/>
  <c r="BX30" i="1"/>
  <c r="BW30" i="1"/>
  <c r="BV30" i="1"/>
  <c r="BU30" i="1"/>
  <c r="BT30" i="1"/>
  <c r="BS30" i="1"/>
  <c r="BR30" i="1"/>
  <c r="BQ30" i="1"/>
  <c r="BZ29" i="1"/>
  <c r="BY29" i="1"/>
  <c r="BX29" i="1"/>
  <c r="BW29" i="1"/>
  <c r="BV29" i="1"/>
  <c r="BU29" i="1"/>
  <c r="BT29" i="1"/>
  <c r="BS29" i="1"/>
  <c r="BR29" i="1"/>
  <c r="BQ29" i="1"/>
  <c r="BZ28" i="1"/>
  <c r="BY28" i="1"/>
  <c r="BX28" i="1"/>
  <c r="BW28" i="1"/>
  <c r="BV28" i="1"/>
  <c r="BU28" i="1"/>
  <c r="BT28" i="1"/>
  <c r="BS28" i="1"/>
  <c r="BR28" i="1"/>
  <c r="BQ28" i="1"/>
  <c r="BZ27" i="1"/>
  <c r="BY27" i="1"/>
  <c r="BX27" i="1"/>
  <c r="BW27" i="1"/>
  <c r="BV27" i="1"/>
  <c r="BU27" i="1"/>
  <c r="BT27" i="1"/>
  <c r="BS27" i="1"/>
  <c r="BR27" i="1"/>
  <c r="BQ27" i="1"/>
  <c r="BZ26" i="1"/>
  <c r="BY26" i="1"/>
  <c r="BX26" i="1"/>
  <c r="BW26" i="1"/>
  <c r="BV26" i="1"/>
  <c r="BU26" i="1"/>
  <c r="BT26" i="1"/>
  <c r="BS26" i="1"/>
  <c r="BR26" i="1"/>
  <c r="BQ26" i="1"/>
  <c r="BZ25" i="1"/>
  <c r="BY25" i="1"/>
  <c r="BX25" i="1"/>
  <c r="BW25" i="1"/>
  <c r="BV25" i="1"/>
  <c r="BU25" i="1"/>
  <c r="BT25" i="1"/>
  <c r="BS25" i="1"/>
  <c r="BR25" i="1"/>
  <c r="BQ25" i="1"/>
  <c r="BZ24" i="1"/>
  <c r="BY24" i="1"/>
  <c r="BX24" i="1"/>
  <c r="BW24" i="1"/>
  <c r="BV24" i="1"/>
  <c r="BU24" i="1"/>
  <c r="BT24" i="1"/>
  <c r="BS24" i="1"/>
  <c r="BR24" i="1"/>
  <c r="BQ24" i="1"/>
  <c r="BZ23" i="1"/>
  <c r="BY23" i="1"/>
  <c r="BX23" i="1"/>
  <c r="BW23" i="1"/>
  <c r="BV23" i="1"/>
  <c r="BU23" i="1"/>
  <c r="BT23" i="1"/>
  <c r="BS23" i="1"/>
  <c r="BR23" i="1"/>
  <c r="BQ23" i="1"/>
  <c r="BZ22" i="1"/>
  <c r="BY22" i="1"/>
  <c r="BX22" i="1"/>
  <c r="BW22" i="1"/>
  <c r="BV22" i="1"/>
  <c r="BU22" i="1"/>
  <c r="BT22" i="1"/>
  <c r="BS22" i="1"/>
  <c r="BR22" i="1"/>
  <c r="BQ22" i="1"/>
  <c r="BZ21" i="1"/>
  <c r="BY21" i="1"/>
  <c r="BX21" i="1"/>
  <c r="BW21" i="1"/>
  <c r="BV21" i="1"/>
  <c r="BU21" i="1"/>
  <c r="BT21" i="1"/>
  <c r="BS21" i="1"/>
  <c r="BR21" i="1"/>
  <c r="BQ21" i="1"/>
  <c r="BZ20" i="1"/>
  <c r="BY20" i="1"/>
  <c r="BX20" i="1"/>
  <c r="BW20" i="1"/>
  <c r="BV20" i="1"/>
  <c r="BU20" i="1"/>
  <c r="BT20" i="1"/>
  <c r="BS20" i="1"/>
  <c r="BR20" i="1"/>
  <c r="BQ20" i="1"/>
  <c r="BZ19" i="1"/>
  <c r="BY19" i="1"/>
  <c r="BX19" i="1"/>
  <c r="BW19" i="1"/>
  <c r="BV19" i="1"/>
  <c r="BU19" i="1"/>
  <c r="BT19" i="1"/>
  <c r="BS19" i="1"/>
  <c r="BR19" i="1"/>
  <c r="BQ19" i="1"/>
  <c r="BZ18" i="1"/>
  <c r="BY18" i="1"/>
  <c r="BX18" i="1"/>
  <c r="BW18" i="1"/>
  <c r="BV18" i="1"/>
  <c r="BU18" i="1"/>
  <c r="BT18" i="1"/>
  <c r="BS18" i="1"/>
  <c r="BR18" i="1"/>
  <c r="BQ18" i="1"/>
  <c r="BZ17" i="1"/>
  <c r="BY17" i="1"/>
  <c r="BX17" i="1"/>
  <c r="BW17" i="1"/>
  <c r="BV17" i="1"/>
  <c r="BU17" i="1"/>
  <c r="BT17" i="1"/>
  <c r="BS17" i="1"/>
  <c r="BR17" i="1"/>
  <c r="BQ17" i="1"/>
  <c r="BZ16" i="1"/>
  <c r="BY16" i="1"/>
  <c r="BX16" i="1"/>
  <c r="BW16" i="1"/>
  <c r="BV16" i="1"/>
  <c r="BU16" i="1"/>
  <c r="BT16" i="1"/>
  <c r="BS16" i="1"/>
  <c r="BR16" i="1"/>
  <c r="BQ16" i="1"/>
  <c r="BZ15" i="1"/>
  <c r="BY15" i="1"/>
  <c r="BX15" i="1"/>
  <c r="BW15" i="1"/>
  <c r="BV15" i="1"/>
  <c r="BU15" i="1"/>
  <c r="BT15" i="1"/>
  <c r="BS15" i="1"/>
  <c r="BR15" i="1"/>
  <c r="BQ15" i="1"/>
  <c r="BZ14" i="1"/>
  <c r="BY14" i="1"/>
  <c r="BX14" i="1"/>
  <c r="BW14" i="1"/>
  <c r="BV14" i="1"/>
  <c r="BU14" i="1"/>
  <c r="BT14" i="1"/>
  <c r="BS14" i="1"/>
  <c r="BR14" i="1"/>
  <c r="BQ14" i="1"/>
  <c r="BZ13" i="1"/>
  <c r="BY13" i="1"/>
  <c r="BX13" i="1"/>
  <c r="BW13" i="1"/>
  <c r="BV13" i="1"/>
  <c r="BU13" i="1"/>
  <c r="BT13" i="1"/>
  <c r="BS13" i="1"/>
  <c r="BR13" i="1"/>
  <c r="BQ13" i="1"/>
  <c r="BZ12" i="1"/>
  <c r="BY12" i="1"/>
  <c r="BX12" i="1"/>
  <c r="BW12" i="1"/>
  <c r="BV12" i="1"/>
  <c r="BU12" i="1"/>
  <c r="BT12" i="1"/>
  <c r="BS12" i="1"/>
  <c r="BR12" i="1"/>
  <c r="BQ12" i="1"/>
  <c r="BZ11" i="1"/>
  <c r="BY11" i="1"/>
  <c r="BX11" i="1"/>
  <c r="BW11" i="1"/>
  <c r="BV11" i="1"/>
  <c r="BU11" i="1"/>
  <c r="BT11" i="1"/>
  <c r="BS11" i="1"/>
  <c r="BR11" i="1"/>
  <c r="BQ11" i="1"/>
  <c r="BZ10" i="1"/>
  <c r="BY10" i="1"/>
  <c r="BX10" i="1"/>
  <c r="BW10" i="1"/>
  <c r="BV10" i="1"/>
  <c r="BU10" i="1"/>
  <c r="BT10" i="1"/>
  <c r="BS10" i="1"/>
  <c r="BR10" i="1"/>
  <c r="BQ10" i="1"/>
  <c r="BT9" i="1"/>
  <c r="CA24" i="1" l="1"/>
  <c r="BP24" i="1" s="1"/>
  <c r="CA28" i="1"/>
  <c r="BP28" i="1" s="1"/>
  <c r="CA18" i="1"/>
  <c r="BP18" i="1" s="1"/>
  <c r="CA22" i="1"/>
  <c r="BP22" i="1" s="1"/>
  <c r="CA26" i="1"/>
  <c r="BP26" i="1" s="1"/>
  <c r="CA20" i="1"/>
  <c r="BP20" i="1" s="1"/>
  <c r="BT64" i="1"/>
  <c r="CA38" i="1"/>
  <c r="BP38" i="1" s="1"/>
  <c r="CA36" i="1"/>
  <c r="BP36" i="1" s="1"/>
  <c r="CA32" i="1"/>
  <c r="BP32" i="1" s="1"/>
  <c r="CA34" i="1"/>
  <c r="BP34" i="1" s="1"/>
  <c r="CA30" i="1"/>
  <c r="BP30" i="1" s="1"/>
  <c r="BK1" i="1"/>
  <c r="CA19" i="1"/>
  <c r="BP19" i="1" s="1"/>
  <c r="CA21" i="1"/>
  <c r="BP21" i="1" s="1"/>
  <c r="CA23" i="1"/>
  <c r="BP23" i="1" s="1"/>
  <c r="CA25" i="1"/>
  <c r="BP25" i="1" s="1"/>
  <c r="CA27" i="1"/>
  <c r="BP27" i="1" s="1"/>
  <c r="CA29" i="1"/>
  <c r="BP29" i="1" s="1"/>
  <c r="CA31" i="1"/>
  <c r="BP31" i="1" s="1"/>
  <c r="CA33" i="1"/>
  <c r="BP33" i="1" s="1"/>
  <c r="CA35" i="1"/>
  <c r="BP35" i="1" s="1"/>
  <c r="CA37" i="1"/>
  <c r="BP37" i="1" s="1"/>
  <c r="CA17" i="1"/>
  <c r="BP17" i="1" s="1"/>
  <c r="BP1" i="1"/>
  <c r="BP2" i="1"/>
  <c r="CA16" i="1"/>
  <c r="BP16" i="1" s="1"/>
  <c r="CA15" i="1"/>
  <c r="BP15" i="1" s="1"/>
  <c r="CA14" i="1"/>
  <c r="BP14" i="1" s="1"/>
  <c r="CA13" i="1"/>
  <c r="BP13" i="1" s="1"/>
  <c r="CA12" i="1"/>
  <c r="BP12" i="1" s="1"/>
  <c r="CA11" i="1"/>
  <c r="BP11" i="1" s="1"/>
  <c r="CA10" i="1"/>
  <c r="BP10" i="1" s="1"/>
  <c r="BW63" i="1"/>
  <c r="BV63" i="1"/>
  <c r="CZ63" i="1" l="1"/>
  <c r="DA63" i="1"/>
  <c r="DB63" i="1"/>
  <c r="DC63" i="1"/>
  <c r="DD63" i="1"/>
  <c r="DE63" i="1"/>
  <c r="DF63" i="1"/>
  <c r="DG63" i="1"/>
  <c r="DH63" i="1"/>
  <c r="DI63" i="1"/>
  <c r="DJ63" i="1"/>
  <c r="CY63" i="1"/>
  <c r="CQ63" i="1"/>
  <c r="CR63" i="1"/>
  <c r="CS63" i="1"/>
  <c r="CT63" i="1"/>
  <c r="CU63" i="1"/>
  <c r="CP63" i="1"/>
  <c r="CN63" i="1"/>
  <c r="CO63" i="1"/>
  <c r="CM63" i="1"/>
  <c r="CE63" i="1"/>
  <c r="CF63" i="1"/>
  <c r="CG63" i="1"/>
  <c r="CH63" i="1"/>
  <c r="CI63" i="1"/>
  <c r="CJ63" i="1"/>
  <c r="CK63" i="1"/>
  <c r="CL63" i="1"/>
  <c r="CD63" i="1"/>
  <c r="CB63" i="1"/>
  <c r="CC63" i="1"/>
  <c r="CA63" i="1"/>
  <c r="BX63" i="1"/>
  <c r="BY63" i="1"/>
  <c r="BZ63" i="1"/>
  <c r="BU63" i="1"/>
  <c r="DT46" i="1"/>
  <c r="DS46" i="1"/>
  <c r="DR46" i="1"/>
  <c r="DQ46" i="1"/>
  <c r="DP46" i="1"/>
  <c r="DO46" i="1"/>
  <c r="DN46" i="1"/>
  <c r="DM46" i="1"/>
  <c r="DL46" i="1"/>
  <c r="DK46" i="1"/>
  <c r="DJ46" i="1"/>
  <c r="DI46" i="1"/>
  <c r="DH46" i="1"/>
  <c r="DG46" i="1"/>
  <c r="DF46" i="1"/>
  <c r="DE46" i="1"/>
  <c r="DD46" i="1"/>
  <c r="DC46" i="1"/>
  <c r="DB46" i="1"/>
  <c r="DA46" i="1"/>
  <c r="CZ46" i="1"/>
  <c r="CY46" i="1"/>
  <c r="CX46" i="1"/>
  <c r="CW46" i="1"/>
  <c r="CV46" i="1"/>
  <c r="CU46" i="1"/>
  <c r="CT46" i="1"/>
  <c r="CS46" i="1"/>
  <c r="CR46" i="1"/>
  <c r="CQ46" i="1"/>
  <c r="CP46" i="1"/>
  <c r="CO46" i="1"/>
  <c r="CN46" i="1"/>
  <c r="CM46" i="1"/>
  <c r="DJ64" i="1" l="1"/>
  <c r="CU64" i="1"/>
  <c r="CC64" i="1"/>
  <c r="BZ64" i="1"/>
  <c r="CO64" i="1"/>
  <c r="CL64" i="1"/>
  <c r="CL46" i="1" l="1"/>
  <c r="CJ46" i="1"/>
  <c r="CH46" i="1"/>
  <c r="CG46" i="1"/>
  <c r="CF46" i="1"/>
  <c r="CE46" i="1"/>
  <c r="CD46" i="1"/>
  <c r="CC46" i="1"/>
  <c r="CA52" i="1"/>
  <c r="CA54" i="1"/>
  <c r="CA51" i="1"/>
  <c r="CA50" i="1"/>
  <c r="CA49" i="1"/>
  <c r="CA48" i="1"/>
  <c r="CA46" i="1" l="1"/>
  <c r="BZ46" i="1"/>
  <c r="BY46" i="1"/>
  <c r="BX46" i="1"/>
  <c r="BW46" i="1"/>
  <c r="BV46" i="1"/>
  <c r="BU46" i="1"/>
  <c r="BT46" i="1"/>
  <c r="BS46" i="1"/>
  <c r="BZ9" i="1" l="1"/>
  <c r="BY9" i="1"/>
  <c r="BX9" i="1"/>
  <c r="BW9" i="1"/>
  <c r="BV9" i="1"/>
  <c r="BU9" i="1"/>
  <c r="BS9" i="1"/>
  <c r="BR9" i="1"/>
  <c r="BQ9" i="1"/>
  <c r="CA9" i="1" l="1"/>
  <c r="BP9" i="1" s="1"/>
  <c r="BK3" i="1" l="1"/>
</calcChain>
</file>

<file path=xl/comments1.xml><?xml version="1.0" encoding="utf-8"?>
<comments xmlns="http://schemas.openxmlformats.org/spreadsheetml/2006/main">
  <authors>
    <author>m</author>
    <author>文部科学省</author>
    <author>y-okuda</author>
  </authors>
  <commentList>
    <comment ref="C2" authorId="0" shapeId="0">
      <text>
        <r>
          <rPr>
            <b/>
            <sz val="9"/>
            <color indexed="81"/>
            <rFont val="MS P ゴシック"/>
            <family val="3"/>
            <charset val="128"/>
          </rPr>
          <t>国立
私立
株立</t>
        </r>
      </text>
    </comment>
    <comment ref="E5" authorId="1" shapeId="0">
      <text>
        <r>
          <rPr>
            <b/>
            <sz val="12"/>
            <color indexed="10"/>
            <rFont val="ＭＳ Ｐゴシック"/>
            <family val="3"/>
            <charset val="128"/>
          </rPr>
          <t>任意の数字でよいが、確実に記載のこと。
必ず、同一校は同一の番号とすること。</t>
        </r>
      </text>
    </comment>
    <comment ref="F5" authorId="2" shapeId="0">
      <text>
        <r>
          <rPr>
            <b/>
            <sz val="10"/>
            <color indexed="81"/>
            <rFont val="ＭＳ Ｐゴシック"/>
            <family val="3"/>
            <charset val="128"/>
          </rPr>
          <t>記入例：５人（中３）、２人（中１）</t>
        </r>
      </text>
    </comment>
    <comment ref="BB5" authorId="2" shapeId="0">
      <text>
        <r>
          <rPr>
            <b/>
            <sz val="10"/>
            <color indexed="81"/>
            <rFont val="ＭＳ Ｐゴシック"/>
            <family val="3"/>
            <charset val="128"/>
          </rPr>
          <t>ア素手で殴る・叩く
イ棒などで殴る・叩く
ウ蹴る・踏みつける
エ投げる・突き飛ばす・転倒させる
オつねる・ひっかく
カ物をぶつける・投げつける
キ長時間教室等に留め置く
ク長時間正座など一定の姿勢を保持させる
ケその他</t>
        </r>
      </text>
    </comment>
    <comment ref="BC5" authorId="2" shapeId="0">
      <text>
        <r>
          <rPr>
            <b/>
            <sz val="10"/>
            <color indexed="81"/>
            <rFont val="ＭＳ Ｐゴシック"/>
            <family val="3"/>
            <charset val="128"/>
          </rPr>
          <t>ア死亡
イ骨折・挫折など
ウ鼓膜損傷
エ外傷
オ打撲（頭）
カ打撲（顔）
キ打撲（足）
ク打撲（オ～キ以外）
ケ鼻血
コ髪を切られる
サその他
シ傷害なし</t>
        </r>
      </text>
    </comment>
    <comment ref="B8" authorId="1" shapeId="0">
      <text>
        <r>
          <rPr>
            <b/>
            <sz val="10"/>
            <color indexed="81"/>
            <rFont val="ＭＳ Ｐゴシック"/>
            <family val="3"/>
            <charset val="128"/>
          </rPr>
          <t>ア幼稚園
イ小学校
ウ中学校
エ義務教育学校
オ高等学校
カ中等教育学校
キ特別支援学校</t>
        </r>
      </text>
    </comment>
    <comment ref="C8" authorId="1" shapeId="0">
      <text>
        <r>
          <rPr>
            <b/>
            <sz val="10"/>
            <color indexed="81"/>
            <rFont val="ＭＳ Ｐゴシック"/>
            <family val="3"/>
            <charset val="128"/>
          </rPr>
          <t>ア２０歳代
イ３０歳代
ウ４０歳代
エ５０歳代
オ６０歳代以上</t>
        </r>
        <r>
          <rPr>
            <b/>
            <sz val="12"/>
            <color indexed="81"/>
            <rFont val="ＭＳ Ｐゴシック"/>
            <family val="3"/>
            <charset val="128"/>
          </rPr>
          <t xml:space="preserve">
</t>
        </r>
      </text>
    </comment>
    <comment ref="D8" authorId="1" shapeId="0">
      <text>
        <r>
          <rPr>
            <b/>
            <sz val="10"/>
            <color indexed="81"/>
            <rFont val="ＭＳ Ｐゴシック"/>
            <family val="3"/>
            <charset val="128"/>
          </rPr>
          <t>ア男性
イ女性</t>
        </r>
      </text>
    </comment>
    <comment ref="AZ8" authorId="2" shapeId="0">
      <text>
        <r>
          <rPr>
            <b/>
            <sz val="10"/>
            <color indexed="81"/>
            <rFont val="ＭＳ Ｐゴシック"/>
            <family val="3"/>
            <charset val="128"/>
          </rPr>
          <t>ア授業中・保育中
イ放課後
ウ休み時間
エ部活動
オ学校行事
カホームルーム
キその他</t>
        </r>
      </text>
    </comment>
    <comment ref="BA8" authorId="2" shapeId="0">
      <text>
        <r>
          <rPr>
            <b/>
            <sz val="10"/>
            <color indexed="81"/>
            <rFont val="ＭＳ Ｐゴシック"/>
            <family val="3"/>
            <charset val="128"/>
          </rPr>
          <t>ア教室
イ職員室
ウ運動場・園庭、体育館・遊戯室
エ生徒指導室
オ廊下、階段
カその他</t>
        </r>
      </text>
    </comment>
  </commentList>
</comments>
</file>

<file path=xl/sharedStrings.xml><?xml version="1.0" encoding="utf-8"?>
<sst xmlns="http://schemas.openxmlformats.org/spreadsheetml/2006/main" count="303" uniqueCount="177">
  <si>
    <t>所属課名</t>
    <rPh sb="0" eb="2">
      <t>ショゾク</t>
    </rPh>
    <rPh sb="2" eb="3">
      <t>カ</t>
    </rPh>
    <rPh sb="3" eb="4">
      <t>メイ</t>
    </rPh>
    <phoneticPr fontId="1"/>
  </si>
  <si>
    <t>記入者名</t>
    <rPh sb="0" eb="3">
      <t>キニュウシャ</t>
    </rPh>
    <rPh sb="3" eb="4">
      <t>メイ</t>
    </rPh>
    <phoneticPr fontId="1"/>
  </si>
  <si>
    <t>e-mail</t>
    <phoneticPr fontId="1"/>
  </si>
  <si>
    <t>被害を受けた児童生徒人数</t>
    <rPh sb="0" eb="2">
      <t>ヒガイ</t>
    </rPh>
    <rPh sb="3" eb="4">
      <t>ウ</t>
    </rPh>
    <rPh sb="6" eb="8">
      <t>ジドウ</t>
    </rPh>
    <rPh sb="8" eb="10">
      <t>セイト</t>
    </rPh>
    <rPh sb="10" eb="12">
      <t>ニンズウ</t>
    </rPh>
    <phoneticPr fontId="1"/>
  </si>
  <si>
    <t>体罰時の状況</t>
    <rPh sb="0" eb="2">
      <t>タイバツ</t>
    </rPh>
    <rPh sb="2" eb="3">
      <t>ジ</t>
    </rPh>
    <rPh sb="4" eb="6">
      <t>ジョウキョウ</t>
    </rPh>
    <phoneticPr fontId="1"/>
  </si>
  <si>
    <t>体罰の態様</t>
    <rPh sb="0" eb="2">
      <t>タイバツ</t>
    </rPh>
    <rPh sb="3" eb="5">
      <t>タイヨウ</t>
    </rPh>
    <phoneticPr fontId="1"/>
  </si>
  <si>
    <t>被害の状況</t>
    <rPh sb="0" eb="2">
      <t>ヒガイ</t>
    </rPh>
    <rPh sb="3" eb="5">
      <t>ジョウキョウ</t>
    </rPh>
    <phoneticPr fontId="1"/>
  </si>
  <si>
    <t>体罰事案の把握のきっかけ</t>
    <rPh sb="0" eb="2">
      <t>タイバツ</t>
    </rPh>
    <rPh sb="2" eb="4">
      <t>ジアン</t>
    </rPh>
    <rPh sb="5" eb="7">
      <t>ハアク</t>
    </rPh>
    <phoneticPr fontId="1"/>
  </si>
  <si>
    <t>事実関係の把握の手法</t>
    <rPh sb="0" eb="2">
      <t>ジジツ</t>
    </rPh>
    <rPh sb="2" eb="4">
      <t>カンケイ</t>
    </rPh>
    <rPh sb="5" eb="7">
      <t>ハアク</t>
    </rPh>
    <rPh sb="8" eb="10">
      <t>シュホウ</t>
    </rPh>
    <phoneticPr fontId="1"/>
  </si>
  <si>
    <t>通信制か否か</t>
    <phoneticPr fontId="1"/>
  </si>
  <si>
    <t>学校種</t>
    <rPh sb="0" eb="2">
      <t>ガッコウ</t>
    </rPh>
    <rPh sb="2" eb="3">
      <t>シュ</t>
    </rPh>
    <phoneticPr fontId="1"/>
  </si>
  <si>
    <t>年代</t>
    <rPh sb="0" eb="2">
      <t>ネンダイ</t>
    </rPh>
    <phoneticPr fontId="1"/>
  </si>
  <si>
    <t>性別</t>
    <rPh sb="0" eb="2">
      <t>セイベツ</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</si>
  <si>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</si>
  <si>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</si>
  <si>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</si>
  <si>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中等教育学校</t>
    <rPh sb="0" eb="2">
      <t>チュウトウ</t>
    </rPh>
    <rPh sb="2" eb="4">
      <t>キョウイク</t>
    </rPh>
    <rPh sb="4" eb="6">
      <t>ガッコウ</t>
    </rPh>
    <phoneticPr fontId="1"/>
  </si>
  <si>
    <t>特別支援学校</t>
    <rPh sb="0" eb="2">
      <t>トクベツ</t>
    </rPh>
    <rPh sb="2" eb="4">
      <t>シエン</t>
    </rPh>
    <rPh sb="4" eb="6">
      <t>ガッコウ</t>
    </rPh>
    <phoneticPr fontId="1"/>
  </si>
  <si>
    <t>イ保護者の訴え</t>
    <rPh sb="1" eb="4">
      <t>ホゴシャ</t>
    </rPh>
    <rPh sb="5" eb="6">
      <t>ウッタ</t>
    </rPh>
    <phoneticPr fontId="1"/>
  </si>
  <si>
    <t>ウ教員の申告</t>
    <rPh sb="1" eb="3">
      <t>キョウイン</t>
    </rPh>
    <rPh sb="4" eb="6">
      <t>シンコク</t>
    </rPh>
    <phoneticPr fontId="1"/>
  </si>
  <si>
    <t>エ第三者の通報</t>
    <rPh sb="1" eb="4">
      <t>ダイサンシャ</t>
    </rPh>
    <rPh sb="5" eb="7">
      <t>ツウホウ</t>
    </rPh>
    <phoneticPr fontId="1"/>
  </si>
  <si>
    <t>オその他</t>
    <rPh sb="3" eb="4">
      <t>タ</t>
    </rPh>
    <phoneticPr fontId="1"/>
  </si>
  <si>
    <t>ア当事者教員</t>
    <rPh sb="1" eb="4">
      <t>トウジシャ</t>
    </rPh>
    <rPh sb="4" eb="6">
      <t>キョウイン</t>
    </rPh>
    <phoneticPr fontId="1"/>
  </si>
  <si>
    <t>イその他教員</t>
    <rPh sb="3" eb="4">
      <t>タ</t>
    </rPh>
    <rPh sb="4" eb="6">
      <t>キョウイン</t>
    </rPh>
    <phoneticPr fontId="1"/>
  </si>
  <si>
    <t>オ保護者</t>
    <rPh sb="1" eb="4">
      <t>ホゴシャ</t>
    </rPh>
    <phoneticPr fontId="1"/>
  </si>
  <si>
    <t>カその他（第三者）</t>
    <rPh sb="3" eb="4">
      <t>タ</t>
    </rPh>
    <rPh sb="5" eb="8">
      <t>ダイサンシャ</t>
    </rPh>
    <phoneticPr fontId="1"/>
  </si>
  <si>
    <t>前期</t>
    <rPh sb="0" eb="2">
      <t>ゼンキ</t>
    </rPh>
    <phoneticPr fontId="1"/>
  </si>
  <si>
    <t>後期</t>
    <rPh sb="0" eb="2">
      <t>コウキ</t>
    </rPh>
    <phoneticPr fontId="1"/>
  </si>
  <si>
    <t>小学部</t>
    <rPh sb="0" eb="2">
      <t>ショウガク</t>
    </rPh>
    <rPh sb="2" eb="3">
      <t>ブ</t>
    </rPh>
    <phoneticPr fontId="1"/>
  </si>
  <si>
    <t>中学部</t>
    <rPh sb="0" eb="3">
      <t>チュウガクブ</t>
    </rPh>
    <phoneticPr fontId="1"/>
  </si>
  <si>
    <t>高等部</t>
    <rPh sb="0" eb="2">
      <t>コウトウ</t>
    </rPh>
    <rPh sb="2" eb="3">
      <t>ブ</t>
    </rPh>
    <phoneticPr fontId="1"/>
  </si>
  <si>
    <t>義務教育学校</t>
    <rPh sb="0" eb="2">
      <t>ギム</t>
    </rPh>
    <rPh sb="2" eb="4">
      <t>キョウイク</t>
    </rPh>
    <rPh sb="4" eb="6">
      <t>ガッコウ</t>
    </rPh>
    <phoneticPr fontId="1"/>
  </si>
  <si>
    <t>（ 単位：人）　</t>
    <phoneticPr fontId="1"/>
  </si>
  <si>
    <t>整理
番号</t>
    <rPh sb="0" eb="2">
      <t>セイリ</t>
    </rPh>
    <rPh sb="3" eb="5">
      <t>バンゴウ</t>
    </rPh>
    <phoneticPr fontId="1"/>
  </si>
  <si>
    <t>当事者
の学校種等</t>
    <rPh sb="0" eb="3">
      <t>トウジシャ</t>
    </rPh>
    <rPh sb="5" eb="7">
      <t>ガッコウ</t>
    </rPh>
    <rPh sb="7" eb="8">
      <t>シュ</t>
    </rPh>
    <rPh sb="8" eb="9">
      <t>トウ</t>
    </rPh>
    <phoneticPr fontId="1"/>
  </si>
  <si>
    <t>学校番号</t>
    <rPh sb="0" eb="2">
      <t>ガッコウ</t>
    </rPh>
    <rPh sb="2" eb="4">
      <t>バンゴウ</t>
    </rPh>
    <phoneticPr fontId="1"/>
  </si>
  <si>
    <t>[場面]</t>
    <rPh sb="1" eb="3">
      <t>バメン</t>
    </rPh>
    <phoneticPr fontId="1"/>
  </si>
  <si>
    <t>[場所]</t>
    <rPh sb="1" eb="3">
      <t>バショ</t>
    </rPh>
    <phoneticPr fontId="1"/>
  </si>
  <si>
    <t>１．「当事者の学校種等」内「学校種」欄、「体罰時の状況」欄、「体罰の態様」欄、「被害の状況」欄が複数ある場合は、各事案で主なものをリストから１つ選択して入力すること。</t>
    <rPh sb="3" eb="6">
      <t>トウジシャ</t>
    </rPh>
    <rPh sb="7" eb="9">
      <t>ガッコウ</t>
    </rPh>
    <rPh sb="9" eb="10">
      <t>シュ</t>
    </rPh>
    <rPh sb="10" eb="11">
      <t>トウ</t>
    </rPh>
    <rPh sb="12" eb="13">
      <t>ナイ</t>
    </rPh>
    <rPh sb="14" eb="16">
      <t>ガッコウ</t>
    </rPh>
    <rPh sb="16" eb="17">
      <t>シュ</t>
    </rPh>
    <rPh sb="18" eb="19">
      <t>ラン</t>
    </rPh>
    <rPh sb="21" eb="23">
      <t>タイバツ</t>
    </rPh>
    <rPh sb="23" eb="24">
      <t>ジ</t>
    </rPh>
    <rPh sb="25" eb="27">
      <t>ジョウキョウ</t>
    </rPh>
    <rPh sb="28" eb="29">
      <t>ラン</t>
    </rPh>
    <rPh sb="40" eb="42">
      <t>ヒガイ</t>
    </rPh>
    <rPh sb="43" eb="45">
      <t>ジョウキョウ</t>
    </rPh>
    <rPh sb="46" eb="47">
      <t>ラン</t>
    </rPh>
    <rPh sb="48" eb="50">
      <t>フクスウ</t>
    </rPh>
    <rPh sb="52" eb="54">
      <t>バアイ</t>
    </rPh>
    <rPh sb="56" eb="59">
      <t>カクジアン</t>
    </rPh>
    <rPh sb="60" eb="61">
      <t>オモ</t>
    </rPh>
    <rPh sb="72" eb="74">
      <t>センタク</t>
    </rPh>
    <rPh sb="76" eb="78">
      <t>ニュウリョク</t>
    </rPh>
    <phoneticPr fontId="1"/>
  </si>
  <si>
    <t>２．「体罰事案の把握のきっかけ」、「体罰事案の把握の手法」欄は、該当する欄全てに「１」を入力すること（「１」以外入力不可）。</t>
    <rPh sb="3" eb="5">
      <t>タイバツ</t>
    </rPh>
    <rPh sb="5" eb="7">
      <t>ジアン</t>
    </rPh>
    <rPh sb="8" eb="10">
      <t>ハアク</t>
    </rPh>
    <rPh sb="18" eb="20">
      <t>タイバツ</t>
    </rPh>
    <rPh sb="20" eb="22">
      <t>ジアン</t>
    </rPh>
    <rPh sb="23" eb="25">
      <t>ハアク</t>
    </rPh>
    <rPh sb="26" eb="28">
      <t>シュホウ</t>
    </rPh>
    <rPh sb="29" eb="30">
      <t>ラン</t>
    </rPh>
    <rPh sb="32" eb="34">
      <t>ガイトウ</t>
    </rPh>
    <rPh sb="36" eb="37">
      <t>ラン</t>
    </rPh>
    <rPh sb="37" eb="38">
      <t>スベ</t>
    </rPh>
    <rPh sb="44" eb="46">
      <t>ニュウリョク</t>
    </rPh>
    <rPh sb="54" eb="56">
      <t>イガイ</t>
    </rPh>
    <rPh sb="56" eb="58">
      <t>ニュウリョク</t>
    </rPh>
    <rPh sb="58" eb="60">
      <t>フカ</t>
    </rPh>
    <phoneticPr fontId="1"/>
  </si>
  <si>
    <t>４．様式変更不可。</t>
    <rPh sb="2" eb="4">
      <t>ヨウシキ</t>
    </rPh>
    <rPh sb="4" eb="6">
      <t>ヘンコウ</t>
    </rPh>
    <rPh sb="6" eb="8">
      <t>フカ</t>
    </rPh>
    <phoneticPr fontId="1"/>
  </si>
  <si>
    <t>様式１　令和２年４月～令和３年３月間における体罰の状況</t>
    <rPh sb="0" eb="2">
      <t>ヨウシキ</t>
    </rPh>
    <rPh sb="4" eb="6">
      <t>レイワ</t>
    </rPh>
    <rPh sb="7" eb="8">
      <t>ネン</t>
    </rPh>
    <rPh sb="8" eb="9">
      <t>ヘイネン</t>
    </rPh>
    <rPh sb="9" eb="10">
      <t>ガツ</t>
    </rPh>
    <rPh sb="11" eb="13">
      <t>レイワ</t>
    </rPh>
    <rPh sb="14" eb="15">
      <t>ネン</t>
    </rPh>
    <rPh sb="15" eb="16">
      <t>ヘイネン</t>
    </rPh>
    <rPh sb="16" eb="17">
      <t>ガツ</t>
    </rPh>
    <rPh sb="17" eb="18">
      <t>カン</t>
    </rPh>
    <rPh sb="22" eb="24">
      <t>タイバツ</t>
    </rPh>
    <rPh sb="25" eb="27">
      <t>ジョウキョウ</t>
    </rPh>
    <phoneticPr fontId="1"/>
  </si>
  <si>
    <t>体罰時の状況</t>
    <phoneticPr fontId="1"/>
  </si>
  <si>
    <t>体罰の態様</t>
    <phoneticPr fontId="1"/>
  </si>
  <si>
    <t>被害の状況</t>
    <phoneticPr fontId="1"/>
  </si>
  <si>
    <t>１年生</t>
    <rPh sb="1" eb="3">
      <t>ネンセイ</t>
    </rPh>
    <phoneticPr fontId="1"/>
  </si>
  <si>
    <t>２年生</t>
    <rPh sb="1" eb="3">
      <t>ネンセイ</t>
    </rPh>
    <phoneticPr fontId="1"/>
  </si>
  <si>
    <t>３年生</t>
    <rPh sb="1" eb="3">
      <t>ネンセイ</t>
    </rPh>
    <phoneticPr fontId="1"/>
  </si>
  <si>
    <t>４年生</t>
    <rPh sb="1" eb="3">
      <t>ネンセイ</t>
    </rPh>
    <phoneticPr fontId="1"/>
  </si>
  <si>
    <t>５年生</t>
    <rPh sb="1" eb="3">
      <t>ネンセイ</t>
    </rPh>
    <phoneticPr fontId="1"/>
  </si>
  <si>
    <t>６年生</t>
    <rPh sb="1" eb="3">
      <t>ネンセイ</t>
    </rPh>
    <phoneticPr fontId="1"/>
  </si>
  <si>
    <t>７年生</t>
    <rPh sb="1" eb="3">
      <t>ネンセイ</t>
    </rPh>
    <phoneticPr fontId="1"/>
  </si>
  <si>
    <t>８年生</t>
    <rPh sb="1" eb="3">
      <t>ネンセイ</t>
    </rPh>
    <phoneticPr fontId="1"/>
  </si>
  <si>
    <t>９年生</t>
    <rPh sb="1" eb="3">
      <t>ネンセイ</t>
    </rPh>
    <phoneticPr fontId="1"/>
  </si>
  <si>
    <t>国立大学法人名
／都道府県名</t>
    <rPh sb="0" eb="2">
      <t>コクリツ</t>
    </rPh>
    <rPh sb="2" eb="4">
      <t>ダイガク</t>
    </rPh>
    <rPh sb="4" eb="6">
      <t>ホウジン</t>
    </rPh>
    <rPh sb="6" eb="7">
      <t>メイ</t>
    </rPh>
    <rPh sb="9" eb="13">
      <t>トドウフケン</t>
    </rPh>
    <rPh sb="13" eb="14">
      <t>メイ</t>
    </rPh>
    <phoneticPr fontId="1"/>
  </si>
  <si>
    <t>電話番号</t>
    <rPh sb="0" eb="2">
      <t>デンワ</t>
    </rPh>
    <rPh sb="2" eb="4">
      <t>バンゴウ</t>
    </rPh>
    <phoneticPr fontId="1"/>
  </si>
  <si>
    <t>１年生</t>
    <rPh sb="1" eb="2">
      <t>ネン</t>
    </rPh>
    <rPh sb="2" eb="3">
      <t>セイ</t>
    </rPh>
    <phoneticPr fontId="1"/>
  </si>
  <si>
    <t>２年生</t>
    <rPh sb="1" eb="2">
      <t>ネン</t>
    </rPh>
    <rPh sb="2" eb="3">
      <t>セイ</t>
    </rPh>
    <phoneticPr fontId="1"/>
  </si>
  <si>
    <t>３年生</t>
    <rPh sb="1" eb="2">
      <t>ネン</t>
    </rPh>
    <rPh sb="2" eb="3">
      <t>セイ</t>
    </rPh>
    <phoneticPr fontId="1"/>
  </si>
  <si>
    <t>４年生</t>
    <rPh sb="1" eb="2">
      <t>ネン</t>
    </rPh>
    <rPh sb="2" eb="3">
      <t>セイ</t>
    </rPh>
    <phoneticPr fontId="1"/>
  </si>
  <si>
    <t>５年生</t>
    <rPh sb="1" eb="2">
      <t>ネン</t>
    </rPh>
    <rPh sb="2" eb="3">
      <t>セイ</t>
    </rPh>
    <phoneticPr fontId="1"/>
  </si>
  <si>
    <t>６年生</t>
    <rPh sb="1" eb="2">
      <t>ネン</t>
    </rPh>
    <rPh sb="2" eb="3">
      <t>セイ</t>
    </rPh>
    <phoneticPr fontId="1"/>
  </si>
  <si>
    <t>当事者</t>
    <rPh sb="0" eb="3">
      <t>トウジシャ</t>
    </rPh>
    <phoneticPr fontId="1"/>
  </si>
  <si>
    <t>空欄チェック</t>
    <rPh sb="0" eb="2">
      <t>クウラン</t>
    </rPh>
    <phoneticPr fontId="1"/>
  </si>
  <si>
    <t>学校種チエック</t>
    <rPh sb="0" eb="2">
      <t>ガッコウ</t>
    </rPh>
    <rPh sb="2" eb="3">
      <t>シュ</t>
    </rPh>
    <phoneticPr fontId="1"/>
  </si>
  <si>
    <t>番号</t>
    <rPh sb="0" eb="2">
      <t>バンゴウ</t>
    </rPh>
    <phoneticPr fontId="1"/>
  </si>
  <si>
    <t>人数</t>
    <rPh sb="0" eb="2">
      <t>ニンズウ</t>
    </rPh>
    <phoneticPr fontId="1"/>
  </si>
  <si>
    <t>場面</t>
    <rPh sb="0" eb="2">
      <t>バメン</t>
    </rPh>
    <phoneticPr fontId="1"/>
  </si>
  <si>
    <t>場所</t>
    <rPh sb="0" eb="2">
      <t>バショ</t>
    </rPh>
    <phoneticPr fontId="1"/>
  </si>
  <si>
    <t>態様</t>
    <rPh sb="0" eb="2">
      <t>タイヨウ</t>
    </rPh>
    <phoneticPr fontId="1"/>
  </si>
  <si>
    <t>被害</t>
    <rPh sb="0" eb="2">
      <t>ヒガイ</t>
    </rPh>
    <phoneticPr fontId="1"/>
  </si>
  <si>
    <t>把握</t>
    <rPh sb="0" eb="2">
      <t>ハアク</t>
    </rPh>
    <phoneticPr fontId="1"/>
  </si>
  <si>
    <t>手法</t>
    <rPh sb="0" eb="2">
      <t>シュホウ</t>
    </rPh>
    <phoneticPr fontId="1"/>
  </si>
  <si>
    <t>計</t>
    <rPh sb="0" eb="1">
      <t>ケイ</t>
    </rPh>
    <phoneticPr fontId="1"/>
  </si>
  <si>
    <t>小</t>
    <rPh sb="0" eb="1">
      <t>ショウ</t>
    </rPh>
    <phoneticPr fontId="1"/>
  </si>
  <si>
    <t>中</t>
    <rPh sb="0" eb="1">
      <t>チュウ</t>
    </rPh>
    <phoneticPr fontId="1"/>
  </si>
  <si>
    <t>義務</t>
    <rPh sb="0" eb="2">
      <t>ギム</t>
    </rPh>
    <phoneticPr fontId="1"/>
  </si>
  <si>
    <t>高</t>
    <rPh sb="0" eb="1">
      <t>コウ</t>
    </rPh>
    <phoneticPr fontId="1"/>
  </si>
  <si>
    <t>中等</t>
    <rPh sb="0" eb="2">
      <t>チュウトウ</t>
    </rPh>
    <phoneticPr fontId="1"/>
  </si>
  <si>
    <t>特</t>
    <rPh sb="0" eb="1">
      <t>トク</t>
    </rPh>
    <phoneticPr fontId="1"/>
  </si>
  <si>
    <t>当事者の年代</t>
    <rPh sb="0" eb="3">
      <t>トウジシャ</t>
    </rPh>
    <rPh sb="4" eb="6">
      <t>ネンダイ</t>
    </rPh>
    <phoneticPr fontId="1"/>
  </si>
  <si>
    <t>当事者の性別</t>
    <rPh sb="0" eb="3">
      <t>トウジシャ</t>
    </rPh>
    <rPh sb="4" eb="6">
      <t>セイベツ</t>
    </rPh>
    <phoneticPr fontId="1"/>
  </si>
  <si>
    <t>場面</t>
    <phoneticPr fontId="1"/>
  </si>
  <si>
    <t>場所</t>
    <phoneticPr fontId="1"/>
  </si>
  <si>
    <t>ア</t>
    <phoneticPr fontId="1"/>
  </si>
  <si>
    <t>イ</t>
    <phoneticPr fontId="1"/>
  </si>
  <si>
    <t>ウ</t>
    <phoneticPr fontId="1"/>
  </si>
  <si>
    <t>エ</t>
    <phoneticPr fontId="1"/>
  </si>
  <si>
    <t>オ</t>
    <phoneticPr fontId="1"/>
  </si>
  <si>
    <t>カ</t>
    <phoneticPr fontId="1"/>
  </si>
  <si>
    <t>キ</t>
    <phoneticPr fontId="1"/>
  </si>
  <si>
    <t>ク</t>
    <phoneticPr fontId="1"/>
  </si>
  <si>
    <t>ケ</t>
    <phoneticPr fontId="1"/>
  </si>
  <si>
    <t>コ</t>
    <phoneticPr fontId="1"/>
  </si>
  <si>
    <t>サ</t>
    <phoneticPr fontId="1"/>
  </si>
  <si>
    <t>シ</t>
    <phoneticPr fontId="1"/>
  </si>
  <si>
    <t>合計</t>
    <rPh sb="0" eb="2">
      <t>ゴウケイ</t>
    </rPh>
    <phoneticPr fontId="1"/>
  </si>
  <si>
    <t>うち通</t>
    <rPh sb="2" eb="3">
      <t>ツウ</t>
    </rPh>
    <phoneticPr fontId="1"/>
  </si>
  <si>
    <t>発生
学校数</t>
    <rPh sb="0" eb="2">
      <t>ハッセイ</t>
    </rPh>
    <rPh sb="3" eb="5">
      <t>ガッコウ</t>
    </rPh>
    <rPh sb="5" eb="6">
      <t>スウ</t>
    </rPh>
    <phoneticPr fontId="1"/>
  </si>
  <si>
    <t>発生
件数</t>
    <rPh sb="0" eb="2">
      <t>ハッセイ</t>
    </rPh>
    <rPh sb="3" eb="5">
      <t>ケンスウ</t>
    </rPh>
    <phoneticPr fontId="1"/>
  </si>
  <si>
    <t>被害
児童
生徒数</t>
    <rPh sb="0" eb="2">
      <t>ヒガイ</t>
    </rPh>
    <rPh sb="3" eb="5">
      <t>ジドウ</t>
    </rPh>
    <rPh sb="6" eb="8">
      <t>セイト</t>
    </rPh>
    <rPh sb="8" eb="9">
      <t>スウ</t>
    </rPh>
    <phoneticPr fontId="1"/>
  </si>
  <si>
    <t>20代</t>
    <rPh sb="2" eb="3">
      <t>ダイ</t>
    </rPh>
    <phoneticPr fontId="1"/>
  </si>
  <si>
    <t>30代</t>
    <rPh sb="2" eb="3">
      <t>ダイ</t>
    </rPh>
    <phoneticPr fontId="1"/>
  </si>
  <si>
    <t>40代</t>
    <rPh sb="2" eb="3">
      <t>ダイ</t>
    </rPh>
    <phoneticPr fontId="1"/>
  </si>
  <si>
    <t>50代</t>
    <rPh sb="2" eb="3">
      <t>ダイ</t>
    </rPh>
    <phoneticPr fontId="1"/>
  </si>
  <si>
    <t>60代以上</t>
    <rPh sb="2" eb="3">
      <t>ダイ</t>
    </rPh>
    <rPh sb="3" eb="5">
      <t>イジョウ</t>
    </rPh>
    <phoneticPr fontId="1"/>
  </si>
  <si>
    <t>男性</t>
    <rPh sb="0" eb="2">
      <t>ダンセイ</t>
    </rPh>
    <phoneticPr fontId="1"/>
  </si>
  <si>
    <t>女性</t>
    <rPh sb="0" eb="2">
      <t>ジョセイ</t>
    </rPh>
    <phoneticPr fontId="1"/>
  </si>
  <si>
    <t>授業</t>
    <rPh sb="0" eb="2">
      <t>ジュギョウ</t>
    </rPh>
    <phoneticPr fontId="1"/>
  </si>
  <si>
    <t>放課後</t>
    <rPh sb="0" eb="3">
      <t>ホウカゴ</t>
    </rPh>
    <phoneticPr fontId="1"/>
  </si>
  <si>
    <t>休み時間</t>
    <rPh sb="0" eb="1">
      <t>ヤス</t>
    </rPh>
    <rPh sb="2" eb="4">
      <t>ジカン</t>
    </rPh>
    <phoneticPr fontId="1"/>
  </si>
  <si>
    <t>部活</t>
    <rPh sb="0" eb="2">
      <t>ブカツ</t>
    </rPh>
    <phoneticPr fontId="1"/>
  </si>
  <si>
    <t>行事</t>
    <rPh sb="0" eb="2">
      <t>ギョウジ</t>
    </rPh>
    <phoneticPr fontId="1"/>
  </si>
  <si>
    <t>ＨＲ</t>
    <phoneticPr fontId="1"/>
  </si>
  <si>
    <t>その他</t>
    <rPh sb="2" eb="3">
      <t>タ</t>
    </rPh>
    <phoneticPr fontId="1"/>
  </si>
  <si>
    <t>教室</t>
    <rPh sb="0" eb="2">
      <t>キョウシツ</t>
    </rPh>
    <phoneticPr fontId="1"/>
  </si>
  <si>
    <t>職員室</t>
    <rPh sb="0" eb="3">
      <t>ショクインシツ</t>
    </rPh>
    <phoneticPr fontId="1"/>
  </si>
  <si>
    <t>運動場</t>
    <rPh sb="0" eb="3">
      <t>ウンドウジョウ</t>
    </rPh>
    <phoneticPr fontId="1"/>
  </si>
  <si>
    <t>生指室</t>
    <rPh sb="0" eb="1">
      <t>セイ</t>
    </rPh>
    <rPh sb="1" eb="2">
      <t>ユビ</t>
    </rPh>
    <rPh sb="2" eb="3">
      <t>シツ</t>
    </rPh>
    <phoneticPr fontId="1"/>
  </si>
  <si>
    <t>廊下</t>
    <rPh sb="0" eb="2">
      <t>ロウカ</t>
    </rPh>
    <phoneticPr fontId="1"/>
  </si>
  <si>
    <t>素手</t>
    <rPh sb="0" eb="2">
      <t>スデ</t>
    </rPh>
    <phoneticPr fontId="1"/>
  </si>
  <si>
    <t>棒</t>
    <rPh sb="0" eb="1">
      <t>ボウ</t>
    </rPh>
    <phoneticPr fontId="1"/>
  </si>
  <si>
    <t>蹴る</t>
    <rPh sb="0" eb="1">
      <t>ケ</t>
    </rPh>
    <phoneticPr fontId="1"/>
  </si>
  <si>
    <t>投げる</t>
    <rPh sb="0" eb="1">
      <t>ナ</t>
    </rPh>
    <phoneticPr fontId="1"/>
  </si>
  <si>
    <t>つねる</t>
    <phoneticPr fontId="1"/>
  </si>
  <si>
    <t>物</t>
    <rPh sb="0" eb="1">
      <t>モノ</t>
    </rPh>
    <phoneticPr fontId="1"/>
  </si>
  <si>
    <t>長教室</t>
    <rPh sb="0" eb="1">
      <t>チョウ</t>
    </rPh>
    <rPh sb="1" eb="3">
      <t>キョウシツ</t>
    </rPh>
    <phoneticPr fontId="1"/>
  </si>
  <si>
    <t>長正座</t>
    <rPh sb="0" eb="1">
      <t>ナガ</t>
    </rPh>
    <rPh sb="1" eb="3">
      <t>セイザ</t>
    </rPh>
    <phoneticPr fontId="1"/>
  </si>
  <si>
    <t>死亡</t>
    <rPh sb="0" eb="2">
      <t>シボウ</t>
    </rPh>
    <phoneticPr fontId="1"/>
  </si>
  <si>
    <t>骨折</t>
    <rPh sb="0" eb="2">
      <t>コッセツ</t>
    </rPh>
    <phoneticPr fontId="1"/>
  </si>
  <si>
    <t>鼓膜損傷</t>
    <rPh sb="0" eb="2">
      <t>コマク</t>
    </rPh>
    <rPh sb="2" eb="4">
      <t>ソンショウ</t>
    </rPh>
    <phoneticPr fontId="1"/>
  </si>
  <si>
    <t>外傷</t>
    <rPh sb="0" eb="2">
      <t>ガイショウ</t>
    </rPh>
    <phoneticPr fontId="1"/>
  </si>
  <si>
    <t>打撲頭</t>
    <rPh sb="0" eb="2">
      <t>ダボク</t>
    </rPh>
    <rPh sb="2" eb="3">
      <t>アタマ</t>
    </rPh>
    <phoneticPr fontId="1"/>
  </si>
  <si>
    <t>打撲顔</t>
    <rPh sb="0" eb="2">
      <t>ダボク</t>
    </rPh>
    <rPh sb="2" eb="3">
      <t>カオ</t>
    </rPh>
    <phoneticPr fontId="1"/>
  </si>
  <si>
    <t>打撲足</t>
    <rPh sb="0" eb="2">
      <t>ダボク</t>
    </rPh>
    <rPh sb="2" eb="3">
      <t>アシ</t>
    </rPh>
    <phoneticPr fontId="1"/>
  </si>
  <si>
    <t>打撲他</t>
    <rPh sb="0" eb="2">
      <t>ダボク</t>
    </rPh>
    <rPh sb="2" eb="3">
      <t>ホカ</t>
    </rPh>
    <phoneticPr fontId="1"/>
  </si>
  <si>
    <t>鼻血</t>
    <rPh sb="0" eb="2">
      <t>ハナヂ</t>
    </rPh>
    <phoneticPr fontId="1"/>
  </si>
  <si>
    <t>髪切</t>
    <rPh sb="0" eb="1">
      <t>カミ</t>
    </rPh>
    <rPh sb="1" eb="2">
      <t>キ</t>
    </rPh>
    <phoneticPr fontId="1"/>
  </si>
  <si>
    <t>なし</t>
    <phoneticPr fontId="1"/>
  </si>
  <si>
    <t>児童</t>
    <rPh sb="0" eb="2">
      <t>ジドウ</t>
    </rPh>
    <phoneticPr fontId="1"/>
  </si>
  <si>
    <t>保護者</t>
    <rPh sb="0" eb="3">
      <t>ホゴシャ</t>
    </rPh>
    <phoneticPr fontId="1"/>
  </si>
  <si>
    <t>教員</t>
    <rPh sb="0" eb="2">
      <t>キョウイン</t>
    </rPh>
    <phoneticPr fontId="1"/>
  </si>
  <si>
    <t>第三者</t>
    <rPh sb="0" eb="3">
      <t>ダイサンシャ</t>
    </rPh>
    <phoneticPr fontId="1"/>
  </si>
  <si>
    <t>当事者</t>
    <rPh sb="0" eb="3">
      <t>トウジシャ</t>
    </rPh>
    <phoneticPr fontId="1"/>
  </si>
  <si>
    <t>他教員</t>
    <rPh sb="0" eb="1">
      <t>タ</t>
    </rPh>
    <rPh sb="1" eb="3">
      <t>キョウイン</t>
    </rPh>
    <phoneticPr fontId="1"/>
  </si>
  <si>
    <t>被害児童</t>
    <rPh sb="0" eb="2">
      <t>ヒガイ</t>
    </rPh>
    <rPh sb="2" eb="4">
      <t>ジドウ</t>
    </rPh>
    <phoneticPr fontId="1"/>
  </si>
  <si>
    <t>他児童</t>
    <rPh sb="0" eb="1">
      <t>ホカ</t>
    </rPh>
    <rPh sb="1" eb="3">
      <t>ジドウ</t>
    </rPh>
    <phoneticPr fontId="1"/>
  </si>
  <si>
    <t>義務教育学校</t>
    <rPh sb="0" eb="2">
      <t>ギム</t>
    </rPh>
    <rPh sb="2" eb="4">
      <t>キョウイク</t>
    </rPh>
    <rPh sb="4" eb="6">
      <t>ガッコウ</t>
    </rPh>
    <phoneticPr fontId="9"/>
  </si>
  <si>
    <t>1年</t>
    <rPh sb="1" eb="2">
      <t>ネン</t>
    </rPh>
    <phoneticPr fontId="1"/>
  </si>
  <si>
    <t>2年</t>
    <rPh sb="1" eb="2">
      <t>ネン</t>
    </rPh>
    <phoneticPr fontId="1"/>
  </si>
  <si>
    <t>3年</t>
    <rPh sb="1" eb="2">
      <t>ネン</t>
    </rPh>
    <phoneticPr fontId="1"/>
  </si>
  <si>
    <t>1年生</t>
    <rPh sb="1" eb="2">
      <t>ネン</t>
    </rPh>
    <rPh sb="2" eb="3">
      <t>セイ</t>
    </rPh>
    <phoneticPr fontId="1"/>
  </si>
  <si>
    <t>2年生</t>
    <rPh sb="1" eb="2">
      <t>ネン</t>
    </rPh>
    <rPh sb="2" eb="3">
      <t>セイ</t>
    </rPh>
    <phoneticPr fontId="1"/>
  </si>
  <si>
    <t>3年生</t>
    <rPh sb="1" eb="2">
      <t>ネン</t>
    </rPh>
    <rPh sb="2" eb="3">
      <t>セイ</t>
    </rPh>
    <phoneticPr fontId="1"/>
  </si>
  <si>
    <t>4年生</t>
    <rPh sb="1" eb="2">
      <t>ネン</t>
    </rPh>
    <rPh sb="2" eb="3">
      <t>セイ</t>
    </rPh>
    <phoneticPr fontId="1"/>
  </si>
  <si>
    <t>5年生</t>
    <rPh sb="1" eb="2">
      <t>ネン</t>
    </rPh>
    <rPh sb="2" eb="3">
      <t>セイ</t>
    </rPh>
    <phoneticPr fontId="1"/>
  </si>
  <si>
    <t>6年生</t>
    <rPh sb="1" eb="2">
      <t>ネン</t>
    </rPh>
    <rPh sb="2" eb="3">
      <t>セイ</t>
    </rPh>
    <phoneticPr fontId="1"/>
  </si>
  <si>
    <t>7年生</t>
    <rPh sb="1" eb="2">
      <t>ネン</t>
    </rPh>
    <rPh sb="2" eb="3">
      <t>セイ</t>
    </rPh>
    <phoneticPr fontId="1"/>
  </si>
  <si>
    <t>8年生</t>
    <rPh sb="1" eb="2">
      <t>ネン</t>
    </rPh>
    <rPh sb="2" eb="3">
      <t>セイ</t>
    </rPh>
    <phoneticPr fontId="1"/>
  </si>
  <si>
    <t>9年生</t>
    <rPh sb="1" eb="2">
      <t>ネン</t>
    </rPh>
    <rPh sb="2" eb="3">
      <t>セイ</t>
    </rPh>
    <phoneticPr fontId="1"/>
  </si>
  <si>
    <t>集計表</t>
    <rPh sb="0" eb="3">
      <t>シュウケイヒョウ</t>
    </rPh>
    <phoneticPr fontId="1"/>
  </si>
  <si>
    <t>幼稚園</t>
    <rPh sb="0" eb="3">
      <t>ヨウチエン</t>
    </rPh>
    <phoneticPr fontId="1"/>
  </si>
  <si>
    <t>３歳児</t>
    <rPh sb="1" eb="3">
      <t>サイジ</t>
    </rPh>
    <phoneticPr fontId="1"/>
  </si>
  <si>
    <t>４歳児</t>
    <rPh sb="1" eb="3">
      <t>サイジ</t>
    </rPh>
    <phoneticPr fontId="1"/>
  </si>
  <si>
    <t>５歳児</t>
    <rPh sb="1" eb="3">
      <t>サイジ</t>
    </rPh>
    <phoneticPr fontId="1"/>
  </si>
  <si>
    <t>０～２歳児</t>
    <rPh sb="3" eb="5">
      <t>サイジ</t>
    </rPh>
    <phoneticPr fontId="1"/>
  </si>
  <si>
    <t>幼稚部</t>
    <rPh sb="0" eb="3">
      <t>ヨウチブ</t>
    </rPh>
    <phoneticPr fontId="1"/>
  </si>
  <si>
    <t>特別支援学校</t>
    <rPh sb="0" eb="2">
      <t>トクベツ</t>
    </rPh>
    <rPh sb="2" eb="4">
      <t>シエン</t>
    </rPh>
    <rPh sb="4" eb="6">
      <t>ガッコウ</t>
    </rPh>
    <phoneticPr fontId="1"/>
  </si>
  <si>
    <t>当事者入力</t>
    <rPh sb="0" eb="3">
      <t>トウジシャ</t>
    </rPh>
    <rPh sb="3" eb="5">
      <t>ニュウリョク</t>
    </rPh>
    <phoneticPr fontId="1"/>
  </si>
  <si>
    <t>幼</t>
    <rPh sb="0" eb="1">
      <t>ヨウ</t>
    </rPh>
    <phoneticPr fontId="1"/>
  </si>
  <si>
    <t>幼稚園</t>
    <rPh sb="0" eb="3">
      <t>ヨウチエン</t>
    </rPh>
    <phoneticPr fontId="1"/>
  </si>
  <si>
    <t>３．「被害を受けた児童生徒等」欄は、「人数（学年）」を入力すること。また、学年が複数に及ぶ場合は、それぞれ入力すること。</t>
    <rPh sb="3" eb="5">
      <t>ヒガイ</t>
    </rPh>
    <rPh sb="6" eb="7">
      <t>ウ</t>
    </rPh>
    <rPh sb="9" eb="11">
      <t>ジドウ</t>
    </rPh>
    <rPh sb="11" eb="13">
      <t>セイト</t>
    </rPh>
    <rPh sb="13" eb="14">
      <t>ナド</t>
    </rPh>
    <rPh sb="15" eb="16">
      <t>ラン</t>
    </rPh>
    <rPh sb="19" eb="21">
      <t>ニンズウ</t>
    </rPh>
    <rPh sb="22" eb="24">
      <t>ガクネン</t>
    </rPh>
    <rPh sb="27" eb="29">
      <t>ニュウリョク</t>
    </rPh>
    <rPh sb="37" eb="39">
      <t>ガクネン</t>
    </rPh>
    <rPh sb="40" eb="42">
      <t>フクスウ</t>
    </rPh>
    <rPh sb="43" eb="44">
      <t>オヨ</t>
    </rPh>
    <rPh sb="45" eb="47">
      <t>バアイ</t>
    </rPh>
    <rPh sb="53" eb="55">
      <t>ニュウリョク</t>
    </rPh>
    <phoneticPr fontId="1"/>
  </si>
  <si>
    <t>ア児童生徒等の訴え</t>
    <rPh sb="1" eb="3">
      <t>ジドウ</t>
    </rPh>
    <rPh sb="3" eb="5">
      <t>セイト</t>
    </rPh>
    <rPh sb="5" eb="6">
      <t>ナド</t>
    </rPh>
    <rPh sb="7" eb="8">
      <t>ウッタ</t>
    </rPh>
    <phoneticPr fontId="1"/>
  </si>
  <si>
    <t>ウ被害児童生徒等</t>
    <rPh sb="1" eb="3">
      <t>ヒガイ</t>
    </rPh>
    <rPh sb="3" eb="5">
      <t>ジドウ</t>
    </rPh>
    <rPh sb="5" eb="7">
      <t>セイト</t>
    </rPh>
    <rPh sb="7" eb="8">
      <t>ナド</t>
    </rPh>
    <phoneticPr fontId="1"/>
  </si>
  <si>
    <t>エその他児童生徒等</t>
    <rPh sb="3" eb="4">
      <t>タ</t>
    </rPh>
    <rPh sb="4" eb="6">
      <t>ジドウ</t>
    </rPh>
    <rPh sb="6" eb="8">
      <t>セイト</t>
    </rPh>
    <rPh sb="8" eb="9">
      <t>ナド</t>
    </rPh>
    <phoneticPr fontId="1"/>
  </si>
  <si>
    <t>被害を受けた児童生徒等人数</t>
    <rPh sb="10" eb="11">
      <t>ナド</t>
    </rPh>
    <phoneticPr fontId="1"/>
  </si>
  <si>
    <t>大阪府</t>
    <rPh sb="0" eb="3">
      <t>オオサカフ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</si>
</sst>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name val="ＭＳ Ｐゴシック"/>
      <family val="3"/>
      <charset val="128"/>
    </font>
    <font>
      <sz val="6"/>
      <name val="ＭＳ Ｐゴシック"/>
      <family val="3"/>
      <charset val="128"/>
    </font>
    <font>
      <sz val="14"/>
      <name val="ＭＳ Ｐゴシック"/>
      <family val="3"/>
      <charset val="128"/>
    </font>
    <font>
      <b/>
      <sz val="12"/>
      <color rgb="FFFF0000"/>
      <name val="ＭＳ Ｐゴシック"/>
      <family val="3"/>
      <charset val="128"/>
    </font>
    <font>
      <sz val="12"/>
      <name val="ＭＳ Ｐゴシック"/>
      <family val="3"/>
      <charset val="128"/>
    </font>
    <font>
      <sz val="11"/>
      <name val="ＭＳ Ｐ明朝"/>
      <family val="1"/>
      <charset val="128"/>
    </font>
    <font>
      <u/>
      <sz val="11"/>
      <color indexed="12"/>
      <name val="ＭＳ Ｐゴシック"/>
      <family val="3"/>
      <charset val="128"/>
    </font>
    <font>
      <sz val="10"/>
      <name val="ＭＳ Ｐ明朝"/>
      <family val="1"/>
      <charset val="128"/>
    </font>
    <font>
      <sz val="14"/>
      <name val="ＭＳ Ｐ明朝"/>
      <family val="1"/>
      <charset val="128"/>
    </font>
    <font>
      <sz val="12"/>
      <color indexed="81"/>
      <name val="ＭＳ Ｐゴシック"/>
      <family val="3"/>
      <charset val="128"/>
    </font>
    <font>
      <sz val="9"/>
      <name val="ＭＳ Ｐ明朝"/>
      <family val="1"/>
      <charset val="128"/>
    </font>
    <font>
      <sz val="12"/>
      <name val="ＭＳ Ｐ明朝"/>
      <family val="1"/>
      <charset val="128"/>
    </font>
    <font>
      <sz val="16"/>
      <name val="ＭＳ Ｐ明朝"/>
      <family val="1"/>
      <charset val="128"/>
    </font>
    <font>
      <b/>
      <sz val="9"/>
      <color indexed="81"/>
      <name val="MS P ゴシック"/>
      <family val="3"/>
      <charset val="128"/>
    </font>
    <font>
      <b/>
      <sz val="12"/>
      <color indexed="81"/>
      <name val="ＭＳ Ｐゴシック"/>
      <family val="3"/>
      <charset val="128"/>
    </font>
    <font>
      <b/>
      <sz val="12"/>
      <color indexed="10"/>
      <name val="ＭＳ Ｐゴシック"/>
      <family val="3"/>
      <charset val="128"/>
    </font>
    <font>
      <b/>
      <sz val="10"/>
      <color indexed="81"/>
      <name val="ＭＳ Ｐゴシック"/>
      <family val="3"/>
      <charset val="128"/>
    </font>
    <font>
      <sz val="25"/>
      <name val="ＭＳ Ｐゴシック"/>
      <family val="3"/>
      <charset val="128"/>
    </font>
    <font>
      <sz val="15"/>
      <name val="ＭＳ Ｐ明朝"/>
      <family val="1"/>
      <charset val="128"/>
    </font>
    <font>
      <b/>
      <sz val="12"/>
      <color rgb="FFFF0000"/>
      <name val="ＭＳ Ｐ明朝"/>
      <family val="1"/>
      <charset val="128"/>
    </font>
    <font>
      <b/>
      <sz val="14"/>
      <color rgb="FFFF0000"/>
      <name val="ＭＳ Ｐゴシック"/>
      <family val="3"/>
      <charset val="128"/>
    </font>
    <font>
      <b/>
      <sz val="11"/>
      <color rgb="FFFF0000"/>
      <name val="ＭＳ Ｐ明朝"/>
      <family val="1"/>
      <charset val="128"/>
    </font>
    <font>
      <b/>
      <sz val="14"/>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8" tint="0.39997558519241921"/>
        <bgColor indexed="64"/>
      </patternFill>
    </fill>
  </fills>
  <borders count="10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top/>
      <bottom/>
      <diagonal/>
    </border>
    <border>
      <left style="thin">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top/>
      <bottom/>
      <diagonal/>
    </border>
    <border>
      <left style="hair">
        <color indexed="64"/>
      </left>
      <right style="medium">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double">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double">
        <color indexed="64"/>
      </left>
      <right style="double">
        <color indexed="64"/>
      </right>
      <top style="medium">
        <color indexed="64"/>
      </top>
      <bottom style="double">
        <color indexed="64"/>
      </bottom>
      <diagonal/>
    </border>
    <border>
      <left/>
      <right style="double">
        <color indexed="64"/>
      </right>
      <top style="medium">
        <color indexed="64"/>
      </top>
      <bottom/>
      <diagonal/>
    </border>
    <border>
      <left style="double">
        <color indexed="64"/>
      </left>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250">
    <xf numFmtId="0" fontId="0" fillId="0" borderId="0" xfId="0">
      <alignment vertical="center"/>
    </xf>
    <xf numFmtId="0" fontId="2" fillId="0" borderId="0" xfId="0" applyFont="1" applyBorder="1">
      <alignment vertical="center"/>
    </xf>
    <xf numFmtId="0" fontId="3" fillId="0" borderId="0" xfId="0" applyFont="1" applyAlignment="1">
      <alignment horizontal="right" vertical="center"/>
    </xf>
    <xf numFmtId="0" fontId="4" fillId="0" borderId="1" xfId="0" applyFont="1" applyBorder="1" applyAlignment="1" applyProtection="1">
      <alignment horizontal="center" vertical="center" shrinkToFit="1"/>
      <protection locked="0"/>
    </xf>
    <xf numFmtId="0" fontId="5" fillId="0" borderId="0" xfId="0" applyFont="1" applyAlignment="1" applyProtection="1"/>
    <xf numFmtId="0" fontId="5" fillId="0" borderId="0" xfId="0" applyFont="1" applyProtection="1">
      <alignment vertical="center"/>
    </xf>
    <xf numFmtId="0" fontId="11" fillId="0" borderId="35" xfId="0" applyFont="1" applyBorder="1" applyAlignment="1" applyProtection="1">
      <alignment vertical="center"/>
    </xf>
    <xf numFmtId="0" fontId="5" fillId="0" borderId="0" xfId="0" applyFont="1" applyAlignment="1" applyProtection="1">
      <alignment vertical="center" shrinkToFit="1"/>
    </xf>
    <xf numFmtId="0" fontId="12" fillId="2" borderId="63"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shrinkToFit="1"/>
      <protection locked="0"/>
    </xf>
    <xf numFmtId="0" fontId="12" fillId="2" borderId="67" xfId="0" applyFont="1" applyFill="1" applyBorder="1" applyAlignment="1" applyProtection="1">
      <alignment horizontal="center" vertical="center" shrinkToFit="1"/>
      <protection locked="0"/>
    </xf>
    <xf numFmtId="0" fontId="8" fillId="2" borderId="68"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12" fillId="2" borderId="72"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12" fillId="2" borderId="74"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6" xfId="0" applyFont="1" applyFill="1" applyBorder="1" applyAlignment="1" applyProtection="1">
      <alignment horizontal="center" vertical="center" shrinkToFit="1"/>
      <protection locked="0"/>
    </xf>
    <xf numFmtId="0" fontId="5" fillId="0" borderId="0" xfId="0" applyFont="1" applyBorder="1" applyProtection="1">
      <alignment vertical="center"/>
    </xf>
    <xf numFmtId="0" fontId="12" fillId="2" borderId="79"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12" fillId="2" borderId="82"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52" xfId="0" applyFont="1" applyFill="1" applyBorder="1" applyAlignment="1" applyProtection="1">
      <alignment horizontal="center" vertical="center" shrinkToFit="1"/>
      <protection locked="0"/>
    </xf>
    <xf numFmtId="0" fontId="5" fillId="2" borderId="61" xfId="0" applyFont="1" applyFill="1" applyBorder="1" applyAlignment="1" applyProtection="1">
      <alignment horizontal="left" vertical="center" shrinkToFit="1"/>
      <protection locked="0"/>
    </xf>
    <xf numFmtId="0" fontId="5" fillId="2" borderId="63" xfId="0" applyFont="1" applyFill="1" applyBorder="1" applyAlignment="1" applyProtection="1">
      <alignment horizontal="left" vertical="center" shrinkToFit="1"/>
      <protection locked="0"/>
    </xf>
    <xf numFmtId="0" fontId="8" fillId="2" borderId="64" xfId="0" applyFont="1" applyFill="1" applyBorder="1" applyAlignment="1" applyProtection="1">
      <alignment horizontal="left" vertical="center" shrinkToFit="1"/>
      <protection locked="0"/>
    </xf>
    <xf numFmtId="0" fontId="5" fillId="2" borderId="70" xfId="0" applyFont="1" applyFill="1" applyBorder="1" applyAlignment="1" applyProtection="1">
      <alignment horizontal="left" vertical="center" shrinkToFit="1"/>
      <protection locked="0"/>
    </xf>
    <xf numFmtId="0" fontId="5" fillId="2" borderId="72" xfId="0" applyFont="1" applyFill="1" applyBorder="1" applyAlignment="1" applyProtection="1">
      <alignment horizontal="left" vertical="center" shrinkToFit="1"/>
      <protection locked="0"/>
    </xf>
    <xf numFmtId="0" fontId="8" fillId="2" borderId="5" xfId="0" applyFont="1" applyFill="1" applyBorder="1" applyAlignment="1" applyProtection="1">
      <alignment horizontal="left" vertical="center" shrinkToFit="1"/>
      <protection locked="0"/>
    </xf>
    <xf numFmtId="0" fontId="5" fillId="2" borderId="77" xfId="0" applyFont="1" applyFill="1" applyBorder="1" applyAlignment="1" applyProtection="1">
      <alignment horizontal="left" vertical="center" shrinkToFit="1"/>
      <protection locked="0"/>
    </xf>
    <xf numFmtId="0" fontId="5" fillId="2" borderId="79" xfId="0" applyFont="1" applyFill="1" applyBorder="1" applyAlignment="1" applyProtection="1">
      <alignment horizontal="left" vertical="center" shrinkToFit="1"/>
      <protection locked="0"/>
    </xf>
    <xf numFmtId="0" fontId="8" fillId="2" borderId="80" xfId="0" applyFont="1" applyFill="1" applyBorder="1" applyAlignment="1" applyProtection="1">
      <alignment horizontal="left" vertical="center" shrinkToFit="1"/>
      <protection locked="0"/>
    </xf>
    <xf numFmtId="0" fontId="10" fillId="2" borderId="63" xfId="0" applyFont="1" applyFill="1" applyBorder="1" applyAlignment="1" applyProtection="1">
      <alignment horizontal="left" vertical="center" wrapText="1" shrinkToFit="1"/>
      <protection locked="0"/>
    </xf>
    <xf numFmtId="0" fontId="10" fillId="2" borderId="72" xfId="0" applyFont="1" applyFill="1" applyBorder="1" applyAlignment="1" applyProtection="1">
      <alignment horizontal="left" vertical="center" wrapText="1" shrinkToFit="1"/>
      <protection locked="0"/>
    </xf>
    <xf numFmtId="0" fontId="10" fillId="2" borderId="79" xfId="0" applyFont="1" applyFill="1" applyBorder="1" applyAlignment="1" applyProtection="1">
      <alignment horizontal="left" vertical="center" wrapText="1" shrinkToFit="1"/>
      <protection locked="0"/>
    </xf>
    <xf numFmtId="0" fontId="8" fillId="0" borderId="64" xfId="0" applyFont="1" applyBorder="1" applyAlignment="1" applyProtection="1">
      <alignment vertical="center" shrinkToFit="1"/>
      <protection locked="0"/>
    </xf>
    <xf numFmtId="0" fontId="8" fillId="0" borderId="64" xfId="0" applyFont="1" applyBorder="1" applyAlignment="1" applyProtection="1">
      <alignment horizontal="left" vertical="center" shrinkToFit="1"/>
      <protection locked="0"/>
    </xf>
    <xf numFmtId="0" fontId="8" fillId="0" borderId="64" xfId="0" applyFont="1" applyFill="1" applyBorder="1" applyAlignment="1" applyProtection="1">
      <alignment vertical="center" shrinkToFit="1"/>
      <protection locked="0"/>
    </xf>
    <xf numFmtId="0" fontId="8" fillId="0" borderId="65" xfId="0" applyFont="1" applyBorder="1" applyAlignment="1" applyProtection="1">
      <alignment vertical="center" shrinkToFit="1"/>
      <protection locked="0"/>
    </xf>
    <xf numFmtId="0" fontId="8" fillId="0" borderId="66" xfId="0" applyFont="1" applyBorder="1" applyAlignment="1" applyProtection="1">
      <alignment vertical="center" shrinkToFit="1"/>
      <protection locked="0"/>
    </xf>
    <xf numFmtId="0" fontId="8" fillId="0" borderId="5" xfId="0" applyFont="1" applyBorder="1" applyAlignment="1" applyProtection="1">
      <alignment horizontal="left" vertical="center" shrinkToFit="1"/>
      <protection locked="0"/>
    </xf>
    <xf numFmtId="0" fontId="8" fillId="0" borderId="5" xfId="0" applyFont="1" applyFill="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8" fillId="0" borderId="2" xfId="0" applyFont="1" applyBorder="1" applyAlignment="1" applyProtection="1">
      <alignment vertical="center" shrinkToFit="1"/>
      <protection locked="0"/>
    </xf>
    <xf numFmtId="0" fontId="8" fillId="0" borderId="73" xfId="0" applyFont="1" applyBorder="1" applyAlignment="1" applyProtection="1">
      <alignment vertical="center" shrinkToFit="1"/>
      <protection locked="0"/>
    </xf>
    <xf numFmtId="0" fontId="8" fillId="0" borderId="80" xfId="0" applyFont="1" applyBorder="1" applyAlignment="1" applyProtection="1">
      <alignment horizontal="left" vertical="center" shrinkToFit="1"/>
      <protection locked="0"/>
    </xf>
    <xf numFmtId="0" fontId="8" fillId="0" borderId="80" xfId="0" applyFont="1" applyFill="1" applyBorder="1" applyAlignment="1" applyProtection="1">
      <alignment vertical="center" shrinkToFit="1"/>
      <protection locked="0"/>
    </xf>
    <xf numFmtId="0" fontId="8" fillId="0" borderId="80" xfId="0" applyFont="1" applyBorder="1" applyAlignment="1" applyProtection="1">
      <alignment vertical="center" shrinkToFit="1"/>
      <protection locked="0"/>
    </xf>
    <xf numFmtId="0" fontId="8" fillId="0" borderId="57" xfId="0" applyFont="1" applyBorder="1" applyAlignment="1" applyProtection="1">
      <alignment vertical="center" shrinkToFit="1"/>
      <protection locked="0"/>
    </xf>
    <xf numFmtId="0" fontId="8" fillId="0" borderId="81" xfId="0" applyFont="1" applyBorder="1" applyAlignment="1" applyProtection="1">
      <alignment vertical="center" shrinkToFit="1"/>
      <protection locked="0"/>
    </xf>
    <xf numFmtId="0" fontId="10" fillId="0" borderId="31" xfId="0" applyFont="1" applyBorder="1" applyAlignment="1" applyProtection="1">
      <alignment horizontal="center" vertical="center" textRotation="255" shrinkToFit="1"/>
    </xf>
    <xf numFmtId="0" fontId="10" fillId="0" borderId="31" xfId="0" applyFont="1" applyFill="1" applyBorder="1" applyAlignment="1" applyProtection="1">
      <alignment horizontal="center" vertical="center" textRotation="255" shrinkToFit="1"/>
    </xf>
    <xf numFmtId="0" fontId="12" fillId="2" borderId="53" xfId="0" applyFont="1" applyFill="1" applyBorder="1" applyAlignment="1" applyProtection="1">
      <alignment horizontal="center" vertical="center" shrinkToFit="1"/>
    </xf>
    <xf numFmtId="0" fontId="12" fillId="2" borderId="54" xfId="0" applyFont="1" applyFill="1" applyBorder="1" applyAlignment="1" applyProtection="1">
      <alignment horizontal="center" vertical="center" shrinkToFit="1"/>
    </xf>
    <xf numFmtId="0" fontId="17" fillId="0" borderId="0" xfId="0" applyFont="1">
      <alignment vertical="center"/>
    </xf>
    <xf numFmtId="0" fontId="8" fillId="2" borderId="56" xfId="0" applyFont="1" applyFill="1" applyBorder="1" applyAlignment="1" applyProtection="1">
      <alignment horizontal="center" vertical="center" shrinkToFit="1"/>
    </xf>
    <xf numFmtId="0" fontId="8" fillId="2" borderId="58" xfId="0" applyFont="1" applyFill="1" applyBorder="1" applyAlignment="1" applyProtection="1">
      <alignment horizontal="center" vertical="center" shrinkToFit="1"/>
    </xf>
    <xf numFmtId="0" fontId="18" fillId="0" borderId="41" xfId="0" applyFont="1" applyBorder="1" applyAlignment="1" applyProtection="1">
      <alignment horizontal="center" vertical="center"/>
    </xf>
    <xf numFmtId="0" fontId="18" fillId="0" borderId="69" xfId="0" applyFont="1" applyBorder="1" applyAlignment="1" applyProtection="1">
      <alignment horizontal="center" vertical="center"/>
    </xf>
    <xf numFmtId="0" fontId="18" fillId="0" borderId="76" xfId="0" applyFont="1" applyBorder="1" applyAlignment="1" applyProtection="1">
      <alignment horizontal="center" vertical="center"/>
    </xf>
    <xf numFmtId="0" fontId="18" fillId="0" borderId="52" xfId="0" applyFont="1" applyBorder="1" applyAlignment="1" applyProtection="1">
      <alignment horizontal="center" vertical="center"/>
    </xf>
    <xf numFmtId="0" fontId="5" fillId="0" borderId="0" xfId="0" applyFont="1" applyAlignment="1" applyProtection="1">
      <alignment horizontal="center" vertical="center" shrinkToFit="1"/>
    </xf>
    <xf numFmtId="0" fontId="5" fillId="0" borderId="0" xfId="0" applyFont="1" applyAlignment="1" applyProtection="1">
      <alignment horizontal="center" vertical="center"/>
    </xf>
    <xf numFmtId="0" fontId="19" fillId="0" borderId="0" xfId="0" applyFont="1" applyAlignment="1" applyProtection="1">
      <alignment horizontal="center" vertical="center"/>
    </xf>
    <xf numFmtId="0" fontId="20" fillId="0" borderId="0" xfId="0" applyFont="1">
      <alignment vertical="center"/>
    </xf>
    <xf numFmtId="0" fontId="21" fillId="0" borderId="0" xfId="0" applyFont="1" applyProtection="1">
      <alignment vertical="center"/>
    </xf>
    <xf numFmtId="0" fontId="5" fillId="0" borderId="44" xfId="0" applyFont="1" applyBorder="1" applyProtection="1">
      <alignment vertical="center"/>
    </xf>
    <xf numFmtId="0" fontId="5" fillId="0" borderId="19" xfId="0" applyFont="1" applyBorder="1" applyProtection="1">
      <alignment vertical="center"/>
    </xf>
    <xf numFmtId="0" fontId="5" fillId="0" borderId="5" xfId="0" applyFont="1" applyBorder="1" applyAlignment="1" applyProtection="1">
      <alignment horizontal="center" vertical="center"/>
    </xf>
    <xf numFmtId="0" fontId="0" fillId="0" borderId="5" xfId="0" applyFont="1" applyBorder="1" applyAlignment="1">
      <alignment horizontal="center" vertical="center" wrapText="1" shrinkToFit="1"/>
    </xf>
    <xf numFmtId="0" fontId="0" fillId="0" borderId="5"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4" borderId="5" xfId="0" applyFont="1" applyFill="1" applyBorder="1" applyAlignment="1">
      <alignment horizontal="center" vertical="center" wrapText="1" shrinkToFit="1"/>
    </xf>
    <xf numFmtId="0" fontId="8" fillId="0" borderId="5" xfId="0" applyFont="1" applyBorder="1" applyProtection="1">
      <alignment vertical="center"/>
    </xf>
    <xf numFmtId="0" fontId="5" fillId="0" borderId="88" xfId="0" applyFont="1" applyBorder="1" applyProtection="1">
      <alignment vertical="center"/>
    </xf>
    <xf numFmtId="0" fontId="11" fillId="0" borderId="5" xfId="0" applyFont="1" applyBorder="1" applyAlignment="1" applyProtection="1">
      <alignment horizontal="right"/>
    </xf>
    <xf numFmtId="0" fontId="4" fillId="0" borderId="5" xfId="0" applyFont="1" applyBorder="1" applyAlignment="1">
      <alignment horizontal="right"/>
    </xf>
    <xf numFmtId="0" fontId="11" fillId="0" borderId="5" xfId="0" applyFont="1" applyFill="1" applyBorder="1" applyAlignment="1" applyProtection="1">
      <alignment horizontal="right" wrapText="1"/>
    </xf>
    <xf numFmtId="0" fontId="5" fillId="0" borderId="0" xfId="0" applyFont="1" applyAlignment="1" applyProtection="1">
      <alignment horizontal="left" vertical="center"/>
    </xf>
    <xf numFmtId="0" fontId="10" fillId="0" borderId="0" xfId="0" applyFont="1" applyAlignment="1" applyProtection="1">
      <alignment horizontal="left" vertical="center"/>
    </xf>
    <xf numFmtId="0" fontId="7" fillId="0" borderId="5" xfId="0" applyFont="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73" xfId="0" applyFont="1" applyBorder="1" applyAlignment="1" applyProtection="1">
      <alignment horizontal="center" vertical="center" shrinkToFit="1"/>
    </xf>
    <xf numFmtId="0" fontId="7" fillId="0" borderId="2" xfId="0" applyFont="1" applyBorder="1" applyAlignment="1" applyProtection="1">
      <alignment horizontal="center" vertical="center" shrinkToFit="1"/>
    </xf>
    <xf numFmtId="0" fontId="7" fillId="0" borderId="73"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7" fillId="0" borderId="5" xfId="0" applyFont="1" applyBorder="1" applyAlignment="1" applyProtection="1">
      <alignment horizontal="center" vertical="center" shrinkToFit="1"/>
    </xf>
    <xf numFmtId="0" fontId="5" fillId="0" borderId="0" xfId="0" applyFont="1" applyFill="1" applyAlignment="1" applyProtection="1">
      <alignment horizontal="center" vertical="center"/>
    </xf>
    <xf numFmtId="0" fontId="21" fillId="0" borderId="0" xfId="0" applyFont="1" applyAlignment="1" applyProtection="1">
      <alignment horizontal="center" vertical="center"/>
    </xf>
    <xf numFmtId="0" fontId="8" fillId="0" borderId="95" xfId="0" applyFont="1" applyBorder="1" applyProtection="1">
      <alignment vertical="center"/>
    </xf>
    <xf numFmtId="0" fontId="11" fillId="0" borderId="95" xfId="0" applyFont="1" applyBorder="1" applyAlignment="1" applyProtection="1">
      <alignment horizontal="right"/>
    </xf>
    <xf numFmtId="0" fontId="8" fillId="0" borderId="96" xfId="0" applyFont="1" applyBorder="1" applyProtection="1">
      <alignment vertical="center"/>
    </xf>
    <xf numFmtId="0" fontId="11" fillId="0" borderId="96" xfId="0" applyFont="1" applyBorder="1" applyAlignment="1" applyProtection="1">
      <alignment horizontal="right"/>
    </xf>
    <xf numFmtId="0" fontId="7" fillId="0" borderId="5" xfId="0" applyFont="1" applyBorder="1" applyProtection="1">
      <alignment vertical="center"/>
    </xf>
    <xf numFmtId="0" fontId="7" fillId="0" borderId="91" xfId="0" applyFont="1" applyBorder="1" applyProtection="1">
      <alignment vertical="center"/>
    </xf>
    <xf numFmtId="0" fontId="7" fillId="0" borderId="73" xfId="0" applyFont="1" applyBorder="1" applyProtection="1">
      <alignment vertical="center"/>
    </xf>
    <xf numFmtId="0" fontId="11" fillId="0" borderId="96" xfId="0" applyFont="1" applyFill="1" applyBorder="1" applyAlignment="1" applyProtection="1">
      <alignment horizontal="right"/>
    </xf>
    <xf numFmtId="0" fontId="4" fillId="0" borderId="5" xfId="0" applyFont="1" applyFill="1" applyBorder="1" applyAlignment="1">
      <alignment horizontal="right"/>
    </xf>
    <xf numFmtId="0" fontId="11" fillId="0" borderId="5" xfId="0" applyFont="1" applyFill="1" applyBorder="1" applyAlignment="1" applyProtection="1">
      <alignment horizontal="right"/>
    </xf>
    <xf numFmtId="0" fontId="8" fillId="0" borderId="84" xfId="0" applyNumberFormat="1" applyFont="1" applyFill="1" applyBorder="1" applyAlignment="1" applyProtection="1">
      <alignment horizontal="center" vertical="center" shrinkToFit="1"/>
    </xf>
    <xf numFmtId="0" fontId="8" fillId="0" borderId="80" xfId="0" applyNumberFormat="1" applyFont="1" applyFill="1" applyBorder="1" applyAlignment="1" applyProtection="1">
      <alignment horizontal="center" vertical="center" shrinkToFit="1"/>
    </xf>
    <xf numFmtId="0" fontId="8" fillId="0" borderId="81" xfId="0" applyNumberFormat="1" applyFont="1" applyFill="1" applyBorder="1" applyAlignment="1" applyProtection="1">
      <alignment horizontal="center" vertical="center" shrinkToFit="1"/>
    </xf>
    <xf numFmtId="0" fontId="8" fillId="0" borderId="57" xfId="0" applyNumberFormat="1" applyFont="1" applyFill="1" applyBorder="1" applyAlignment="1" applyProtection="1">
      <alignment horizontal="center" vertical="center" shrinkToFit="1"/>
    </xf>
    <xf numFmtId="0" fontId="5" fillId="0" borderId="0" xfId="0" applyFont="1" applyFill="1" applyProtection="1">
      <alignment vertical="center"/>
    </xf>
    <xf numFmtId="0" fontId="8" fillId="0" borderId="92" xfId="0" applyFont="1" applyFill="1" applyBorder="1" applyProtection="1">
      <alignment vertical="center"/>
    </xf>
    <xf numFmtId="0" fontId="5" fillId="0" borderId="93" xfId="0" applyFont="1" applyFill="1" applyBorder="1" applyProtection="1">
      <alignment vertical="center"/>
    </xf>
    <xf numFmtId="0" fontId="8" fillId="0" borderId="94" xfId="0" applyFont="1" applyFill="1" applyBorder="1" applyProtection="1">
      <alignment vertical="center"/>
    </xf>
    <xf numFmtId="0" fontId="5" fillId="0" borderId="37" xfId="0" applyFont="1" applyFill="1" applyBorder="1" applyProtection="1">
      <alignment vertical="center"/>
    </xf>
    <xf numFmtId="0" fontId="5" fillId="0" borderId="10" xfId="0" applyFont="1" applyFill="1" applyBorder="1" applyProtection="1">
      <alignment vertical="center"/>
    </xf>
    <xf numFmtId="0" fontId="8" fillId="0" borderId="92" xfId="0" applyFont="1" applyFill="1" applyBorder="1" applyAlignment="1" applyProtection="1">
      <alignment vertical="center" shrinkToFit="1"/>
    </xf>
    <xf numFmtId="0" fontId="5" fillId="0" borderId="79" xfId="0" applyFont="1" applyFill="1" applyBorder="1" applyAlignment="1" applyProtection="1">
      <alignment horizontal="left" vertical="center" shrinkToFit="1"/>
      <protection locked="0"/>
    </xf>
    <xf numFmtId="0" fontId="5" fillId="0" borderId="16" xfId="0" applyFont="1" applyFill="1" applyBorder="1" applyAlignment="1" applyProtection="1">
      <alignment horizontal="center" vertical="center" shrinkToFit="1"/>
    </xf>
    <xf numFmtId="0" fontId="5" fillId="0" borderId="45" xfId="0" applyFont="1" applyFill="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12" fillId="2" borderId="38" xfId="0" applyFont="1" applyFill="1" applyBorder="1" applyAlignment="1" applyProtection="1">
      <alignment horizontal="center" vertical="center" shrinkToFit="1"/>
    </xf>
    <xf numFmtId="0" fontId="12" fillId="2" borderId="7" xfId="0" applyFont="1" applyFill="1" applyBorder="1" applyAlignment="1" applyProtection="1">
      <alignment horizontal="center" vertical="center" shrinkToFit="1"/>
    </xf>
    <xf numFmtId="0" fontId="12" fillId="2" borderId="39" xfId="0" applyFont="1" applyFill="1" applyBorder="1" applyAlignment="1" applyProtection="1">
      <alignment horizontal="center" vertical="center" shrinkToFit="1"/>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0" fillId="0" borderId="87" xfId="0" applyFont="1" applyBorder="1" applyAlignment="1">
      <alignment horizontal="center" vertical="center"/>
    </xf>
    <xf numFmtId="0" fontId="0" fillId="0" borderId="50" xfId="0" applyFont="1" applyBorder="1" applyAlignment="1">
      <alignment horizontal="center" vertical="center"/>
    </xf>
    <xf numFmtId="0" fontId="0" fillId="0" borderId="49" xfId="0" applyFont="1" applyBorder="1" applyAlignment="1">
      <alignment horizontal="center" vertical="center"/>
    </xf>
    <xf numFmtId="0" fontId="0" fillId="0" borderId="86" xfId="0" applyFont="1" applyBorder="1" applyAlignment="1">
      <alignment horizontal="center" vertical="center"/>
    </xf>
    <xf numFmtId="0" fontId="5" fillId="0" borderId="88"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5" fillId="0" borderId="89" xfId="0" applyFont="1" applyBorder="1" applyAlignment="1" applyProtection="1">
      <alignment horizontal="center" vertical="center"/>
    </xf>
    <xf numFmtId="0" fontId="5" fillId="0" borderId="90" xfId="0" applyFont="1" applyBorder="1" applyAlignment="1" applyProtection="1">
      <alignment horizontal="center" vertical="center"/>
    </xf>
    <xf numFmtId="0" fontId="5" fillId="0" borderId="87"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86" xfId="0" applyFont="1" applyBorder="1" applyAlignment="1" applyProtection="1">
      <alignment horizontal="center" vertical="center"/>
    </xf>
    <xf numFmtId="0" fontId="5" fillId="0" borderId="89" xfId="0" applyFont="1" applyBorder="1" applyAlignment="1" applyProtection="1">
      <alignment horizontal="center" vertical="center" wrapText="1"/>
    </xf>
    <xf numFmtId="0" fontId="22" fillId="0" borderId="0" xfId="0" applyFont="1" applyAlignment="1" applyProtection="1">
      <alignment horizontal="left" vertical="center"/>
    </xf>
    <xf numFmtId="0" fontId="22" fillId="0" borderId="49" xfId="0" applyFont="1" applyBorder="1" applyAlignment="1" applyProtection="1">
      <alignment horizontal="left" vertical="center"/>
    </xf>
    <xf numFmtId="0" fontId="10" fillId="2" borderId="21" xfId="0" applyFont="1" applyFill="1" applyBorder="1" applyAlignment="1" applyProtection="1">
      <alignment vertical="top" textRotation="255" shrinkToFit="1"/>
    </xf>
    <xf numFmtId="0" fontId="10" fillId="2" borderId="28" xfId="0" applyFont="1" applyFill="1" applyBorder="1" applyAlignment="1" applyProtection="1">
      <alignment vertical="top" shrinkToFit="1"/>
    </xf>
    <xf numFmtId="0" fontId="10" fillId="2" borderId="32" xfId="0" applyFont="1" applyFill="1" applyBorder="1" applyAlignment="1" applyProtection="1">
      <alignment vertical="top" shrinkToFit="1"/>
    </xf>
    <xf numFmtId="0" fontId="10" fillId="2" borderId="22" xfId="0" applyFont="1" applyFill="1" applyBorder="1" applyAlignment="1" applyProtection="1">
      <alignment vertical="top" textRotation="255" shrinkToFit="1"/>
    </xf>
    <xf numFmtId="0" fontId="10" fillId="2" borderId="29" xfId="0" applyFont="1" applyFill="1" applyBorder="1" applyAlignment="1" applyProtection="1">
      <alignment vertical="top" shrinkToFit="1"/>
    </xf>
    <xf numFmtId="0" fontId="10" fillId="2" borderId="33" xfId="0" applyFont="1" applyFill="1" applyBorder="1" applyAlignment="1" applyProtection="1">
      <alignment vertical="top" shrinkToFit="1"/>
    </xf>
    <xf numFmtId="0" fontId="5" fillId="0" borderId="1"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5" xfId="0" applyFont="1" applyBorder="1" applyAlignment="1" applyProtection="1">
      <alignment horizontal="center" vertical="center"/>
    </xf>
    <xf numFmtId="0" fontId="12" fillId="2" borderId="40" xfId="0" applyFont="1" applyFill="1" applyBorder="1" applyAlignment="1" applyProtection="1">
      <alignment horizontal="center" vertical="center" shrinkToFit="1"/>
    </xf>
    <xf numFmtId="0" fontId="12" fillId="2" borderId="11" xfId="0" applyFont="1" applyFill="1" applyBorder="1" applyAlignment="1" applyProtection="1">
      <alignment horizontal="center" vertical="center" shrinkToFit="1"/>
    </xf>
    <xf numFmtId="0" fontId="12" fillId="2" borderId="46" xfId="0" applyFont="1" applyFill="1" applyBorder="1" applyAlignment="1" applyProtection="1">
      <alignment horizontal="center" vertical="center" shrinkToFit="1"/>
    </xf>
    <xf numFmtId="0" fontId="12" fillId="2" borderId="24" xfId="0" applyFont="1" applyFill="1" applyBorder="1" applyAlignment="1" applyProtection="1">
      <alignment horizontal="center" vertical="center" shrinkToFit="1"/>
    </xf>
    <xf numFmtId="0" fontId="12" fillId="2" borderId="85" xfId="0" applyFont="1" applyFill="1" applyBorder="1" applyAlignment="1" applyProtection="1">
      <alignment horizontal="center" vertical="center" shrinkToFit="1"/>
    </xf>
    <xf numFmtId="0" fontId="12" fillId="2" borderId="86" xfId="0" applyFont="1" applyFill="1" applyBorder="1" applyAlignment="1" applyProtection="1">
      <alignment horizontal="center" vertical="center" shrinkToFit="1"/>
    </xf>
    <xf numFmtId="0" fontId="12" fillId="2" borderId="8" xfId="0" applyFont="1" applyFill="1" applyBorder="1" applyAlignment="1" applyProtection="1">
      <alignment horizontal="center" vertical="center" shrinkToFit="1"/>
    </xf>
    <xf numFmtId="0" fontId="12" fillId="2" borderId="44" xfId="0" applyFont="1" applyFill="1" applyBorder="1" applyAlignment="1" applyProtection="1">
      <alignment horizontal="center" vertical="center" shrinkToFit="1"/>
    </xf>
    <xf numFmtId="0" fontId="12" fillId="2" borderId="55" xfId="0" applyFont="1" applyFill="1" applyBorder="1" applyAlignment="1" applyProtection="1">
      <alignment horizontal="center" vertical="center" shrinkToFit="1"/>
    </xf>
    <xf numFmtId="0" fontId="3" fillId="0" borderId="0" xfId="0" applyFont="1" applyAlignment="1">
      <alignment horizontal="center" vertical="center"/>
    </xf>
    <xf numFmtId="0" fontId="11" fillId="0" borderId="35" xfId="0" applyFont="1" applyBorder="1" applyAlignment="1" applyProtection="1">
      <alignment horizontal="right" vertical="center"/>
    </xf>
    <xf numFmtId="0" fontId="8" fillId="2" borderId="9" xfId="0" applyFont="1" applyFill="1" applyBorder="1" applyAlignment="1" applyProtection="1">
      <alignment vertical="center" shrinkToFit="1"/>
    </xf>
    <xf numFmtId="0" fontId="8" fillId="2" borderId="10" xfId="0" applyFont="1" applyFill="1" applyBorder="1" applyAlignment="1" applyProtection="1">
      <alignment vertical="center" shrinkToFit="1"/>
    </xf>
    <xf numFmtId="0" fontId="5" fillId="2" borderId="6" xfId="0" applyFont="1" applyFill="1" applyBorder="1" applyAlignment="1" applyProtection="1">
      <alignment vertical="center" shrinkToFit="1"/>
    </xf>
    <xf numFmtId="0" fontId="8" fillId="0" borderId="41" xfId="0" applyFont="1" applyBorder="1" applyAlignment="1">
      <alignment horizontal="center" vertical="center" textRotation="255" shrinkToFit="1"/>
    </xf>
    <xf numFmtId="0" fontId="8" fillId="0" borderId="42" xfId="0" applyFont="1" applyBorder="1" applyAlignment="1">
      <alignment horizontal="center" vertical="center" textRotation="255" shrinkToFit="1"/>
    </xf>
    <xf numFmtId="0" fontId="8" fillId="0" borderId="60" xfId="0" applyFont="1" applyBorder="1" applyAlignment="1">
      <alignment horizontal="center" vertical="center" textRotation="255" shrinkToFit="1"/>
    </xf>
    <xf numFmtId="0" fontId="10" fillId="2" borderId="47" xfId="0" applyFont="1" applyFill="1" applyBorder="1" applyAlignment="1" applyProtection="1">
      <alignment vertical="top" textRotation="255" shrinkToFit="1"/>
    </xf>
    <xf numFmtId="0" fontId="10" fillId="2" borderId="51" xfId="0" applyFont="1" applyFill="1" applyBorder="1" applyAlignment="1" applyProtection="1">
      <alignment vertical="top" shrinkToFit="1"/>
    </xf>
    <xf numFmtId="0" fontId="10" fillId="2" borderId="59" xfId="0" applyFont="1" applyFill="1" applyBorder="1" applyAlignment="1" applyProtection="1">
      <alignment vertical="top" shrinkToFit="1"/>
    </xf>
    <xf numFmtId="0" fontId="12" fillId="0" borderId="36" xfId="0" applyFont="1" applyBorder="1" applyAlignment="1" applyProtection="1">
      <alignment horizontal="center" vertical="center" wrapText="1"/>
    </xf>
    <xf numFmtId="0" fontId="12" fillId="0" borderId="42" xfId="0" applyFont="1" applyBorder="1" applyAlignment="1" applyProtection="1">
      <alignment horizontal="center" vertical="center" wrapText="1"/>
    </xf>
    <xf numFmtId="0" fontId="12" fillId="0" borderId="52" xfId="0" applyFont="1" applyBorder="1" applyAlignment="1" applyProtection="1">
      <alignment horizontal="center" vertical="center"/>
    </xf>
    <xf numFmtId="0" fontId="12" fillId="2" borderId="37" xfId="0" applyFont="1" applyFill="1" applyBorder="1" applyAlignment="1" applyProtection="1">
      <alignment horizontal="center" vertical="center" wrapText="1" shrinkToFit="1"/>
    </xf>
    <xf numFmtId="0" fontId="12" fillId="2" borderId="10" xfId="0" applyFont="1" applyFill="1" applyBorder="1" applyAlignment="1" applyProtection="1">
      <alignment horizontal="center" vertical="center" wrapText="1" shrinkToFit="1"/>
    </xf>
    <xf numFmtId="0" fontId="12" fillId="2" borderId="43" xfId="0" applyFont="1" applyFill="1" applyBorder="1" applyAlignment="1" applyProtection="1">
      <alignment horizontal="center" vertical="center" wrapText="1" shrinkToFit="1"/>
    </xf>
    <xf numFmtId="0" fontId="12" fillId="2" borderId="0" xfId="0" applyFont="1" applyFill="1" applyBorder="1" applyAlignment="1" applyProtection="1">
      <alignment horizontal="center" vertical="center" wrapText="1" shrinkToFit="1"/>
    </xf>
    <xf numFmtId="0" fontId="12" fillId="2" borderId="48" xfId="0" applyFont="1" applyFill="1" applyBorder="1" applyAlignment="1" applyProtection="1">
      <alignment horizontal="center" vertical="center" wrapText="1" shrinkToFit="1"/>
    </xf>
    <xf numFmtId="0" fontId="12" fillId="2" borderId="49" xfId="0" applyFont="1" applyFill="1" applyBorder="1" applyAlignment="1" applyProtection="1">
      <alignment horizontal="center" vertical="center" wrapText="1" shrinkToFit="1"/>
    </xf>
    <xf numFmtId="0" fontId="12" fillId="2" borderId="8" xfId="0" applyFont="1" applyFill="1" applyBorder="1" applyAlignment="1" applyProtection="1">
      <alignment horizontal="center" vertical="center" textRotation="255" shrinkToFit="1"/>
    </xf>
    <xf numFmtId="0" fontId="12" fillId="2" borderId="44" xfId="0" applyFont="1" applyFill="1" applyBorder="1" applyAlignment="1" applyProtection="1">
      <alignment horizontal="center" vertical="center" textRotation="255" shrinkToFit="1"/>
    </xf>
    <xf numFmtId="0" fontId="12" fillId="2" borderId="55" xfId="0" applyFont="1" applyFill="1" applyBorder="1" applyAlignment="1" applyProtection="1">
      <alignment horizontal="center" vertical="center" textRotation="255" shrinkToFit="1"/>
    </xf>
    <xf numFmtId="0" fontId="12" fillId="2" borderId="9" xfId="0" applyFont="1" applyFill="1" applyBorder="1" applyAlignment="1" applyProtection="1">
      <alignment vertical="center" shrinkToFit="1"/>
    </xf>
    <xf numFmtId="0" fontId="12" fillId="2" borderId="10" xfId="0" applyFont="1" applyFill="1" applyBorder="1" applyAlignment="1" applyProtection="1">
      <alignment vertical="center" shrinkToFit="1"/>
    </xf>
    <xf numFmtId="0" fontId="12" fillId="2" borderId="11" xfId="0" applyFont="1" applyFill="1" applyBorder="1" applyAlignment="1" applyProtection="1">
      <alignment vertical="center" shrinkToFit="1"/>
    </xf>
    <xf numFmtId="0" fontId="5" fillId="0" borderId="14"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25" xfId="0" applyFont="1" applyBorder="1" applyAlignment="1" applyProtection="1">
      <alignment horizontal="center" vertical="center" shrinkToFit="1"/>
    </xf>
    <xf numFmtId="0" fontId="5" fillId="0" borderId="26" xfId="0" applyFont="1" applyBorder="1" applyAlignment="1" applyProtection="1">
      <alignment horizontal="center" vertical="center" shrinkToFit="1"/>
    </xf>
    <xf numFmtId="0" fontId="5" fillId="0" borderId="27" xfId="0" applyFont="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shrinkToFit="1"/>
    </xf>
    <xf numFmtId="0" fontId="5" fillId="0" borderId="25" xfId="0" applyFont="1" applyFill="1" applyBorder="1" applyAlignment="1" applyProtection="1">
      <alignment horizontal="center" vertical="center" shrinkToFit="1"/>
    </xf>
    <xf numFmtId="0" fontId="5" fillId="0" borderId="26" xfId="0" applyFont="1" applyFill="1" applyBorder="1" applyAlignment="1" applyProtection="1">
      <alignment horizontal="center" vertical="center" shrinkToFit="1"/>
    </xf>
    <xf numFmtId="0" fontId="5" fillId="0" borderId="27" xfId="0" applyFont="1" applyFill="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5" fillId="0" borderId="45" xfId="0" applyFont="1" applyBorder="1" applyAlignment="1" applyProtection="1">
      <alignment horizontal="center" vertical="center" shrinkToFit="1"/>
    </xf>
    <xf numFmtId="0" fontId="10" fillId="2" borderId="23" xfId="0" applyFont="1" applyFill="1" applyBorder="1" applyAlignment="1" applyProtection="1">
      <alignment vertical="top" textRotation="255" shrinkToFit="1"/>
    </xf>
    <xf numFmtId="0" fontId="10" fillId="2" borderId="30" xfId="0" applyFont="1" applyFill="1" applyBorder="1" applyAlignment="1" applyProtection="1">
      <alignment vertical="top" shrinkToFit="1"/>
    </xf>
    <xf numFmtId="0" fontId="10" fillId="2" borderId="34" xfId="0" applyFont="1" applyFill="1" applyBorder="1" applyAlignment="1" applyProtection="1">
      <alignment vertical="top" shrinkToFi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1" xfId="0" applyNumberFormat="1" applyFont="1" applyBorder="1" applyAlignment="1">
      <alignment horizontal="center" vertical="center" shrinkToFit="1"/>
    </xf>
    <xf numFmtId="0" fontId="4" fillId="0" borderId="4" xfId="0" applyNumberFormat="1" applyFont="1" applyBorder="1" applyAlignment="1">
      <alignment horizontal="center" vertical="center" shrinkToFit="1"/>
    </xf>
    <xf numFmtId="0" fontId="4" fillId="0" borderId="2" xfId="0" applyFont="1" applyBorder="1" applyAlignment="1">
      <alignment horizontal="center" vertical="center" shrinkToFit="1"/>
    </xf>
    <xf numFmtId="0" fontId="6" fillId="0" borderId="1" xfId="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91" xfId="0" applyFont="1" applyBorder="1" applyAlignment="1" applyProtection="1">
      <alignment horizontal="center" vertical="center"/>
    </xf>
    <xf numFmtId="0" fontId="5" fillId="0" borderId="73" xfId="0" applyFont="1" applyBorder="1" applyAlignment="1" applyProtection="1">
      <alignment horizontal="center" vertical="center"/>
    </xf>
    <xf numFmtId="0" fontId="5" fillId="0" borderId="5" xfId="0" applyFont="1" applyBorder="1" applyAlignment="1" applyProtection="1">
      <alignment horizontal="center" vertical="center" shrinkToFit="1"/>
    </xf>
    <xf numFmtId="0" fontId="5" fillId="0" borderId="85" xfId="0" applyFont="1" applyBorder="1" applyAlignment="1" applyProtection="1">
      <alignment horizontal="center" vertical="center" shrinkToFit="1"/>
    </xf>
    <xf numFmtId="0" fontId="5" fillId="0" borderId="49" xfId="0" applyFont="1" applyBorder="1" applyAlignment="1" applyProtection="1">
      <alignment horizontal="center" vertical="center" shrinkToFit="1"/>
    </xf>
    <xf numFmtId="0" fontId="5"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0" borderId="100" xfId="0" applyFont="1" applyBorder="1" applyAlignment="1" applyProtection="1">
      <alignment horizontal="center" vertical="center" shrinkToFit="1"/>
    </xf>
    <xf numFmtId="0" fontId="7" fillId="0" borderId="86" xfId="0" applyFont="1" applyBorder="1" applyAlignment="1" applyProtection="1">
      <alignment horizontal="center" vertical="center" shrinkToFit="1"/>
    </xf>
    <xf numFmtId="0" fontId="7" fillId="0" borderId="19" xfId="0" applyFont="1" applyBorder="1" applyAlignment="1" applyProtection="1">
      <alignment horizontal="center" vertical="center" shrinkToFit="1"/>
    </xf>
    <xf numFmtId="0" fontId="7" fillId="0" borderId="20" xfId="0" applyFont="1" applyBorder="1" applyAlignment="1" applyProtection="1">
      <alignment horizontal="center" vertical="center" shrinkToFit="1"/>
    </xf>
    <xf numFmtId="0" fontId="7" fillId="0" borderId="2" xfId="0" applyFont="1" applyBorder="1" applyAlignment="1" applyProtection="1">
      <alignment horizontal="center" vertical="center" shrinkToFit="1"/>
    </xf>
    <xf numFmtId="0" fontId="7" fillId="0" borderId="5" xfId="0" applyFont="1" applyBorder="1" applyAlignment="1" applyProtection="1">
      <alignment horizontal="center" vertical="center" shrinkToFit="1"/>
    </xf>
    <xf numFmtId="0" fontId="7" fillId="0" borderId="73" xfId="0" applyFont="1" applyBorder="1" applyAlignment="1" applyProtection="1">
      <alignment horizontal="center" vertical="center" shrinkToFit="1"/>
    </xf>
    <xf numFmtId="0" fontId="5" fillId="0" borderId="86" xfId="0" applyFont="1" applyFill="1" applyBorder="1" applyAlignment="1" applyProtection="1">
      <alignment horizontal="center" vertical="center" shrinkToFit="1"/>
    </xf>
    <xf numFmtId="0" fontId="5" fillId="0" borderId="19" xfId="0" applyFont="1" applyFill="1" applyBorder="1" applyAlignment="1" applyProtection="1">
      <alignment horizontal="center" vertical="center" shrinkToFit="1"/>
    </xf>
    <xf numFmtId="0" fontId="5" fillId="0" borderId="20"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5" xfId="0" applyFont="1" applyFill="1" applyBorder="1" applyAlignment="1" applyProtection="1">
      <alignment horizontal="center" vertical="center" shrinkToFit="1"/>
    </xf>
    <xf numFmtId="0" fontId="5" fillId="0" borderId="73" xfId="0" applyFont="1" applyFill="1" applyBorder="1" applyAlignment="1" applyProtection="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73" xfId="0" applyBorder="1" applyAlignment="1">
      <alignment horizontal="center" vertical="center" shrinkToFit="1"/>
    </xf>
    <xf numFmtId="0" fontId="5" fillId="0" borderId="86" xfId="0" applyFont="1" applyBorder="1" applyAlignment="1" applyProtection="1">
      <alignment horizontal="center" vertical="center" shrinkToFit="1"/>
    </xf>
    <xf numFmtId="0" fontId="5" fillId="0" borderId="19" xfId="0" applyFont="1" applyBorder="1" applyAlignment="1" applyProtection="1">
      <alignment horizontal="center" vertical="center" shrinkToFit="1"/>
    </xf>
    <xf numFmtId="0" fontId="5" fillId="0" borderId="20"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73" xfId="0" applyFont="1" applyBorder="1" applyAlignment="1" applyProtection="1">
      <alignment horizontal="center" vertical="center" shrinkToFit="1"/>
    </xf>
    <xf numFmtId="0" fontId="5" fillId="0" borderId="0" xfId="0" applyFont="1" applyAlignment="1" applyProtection="1">
      <alignment horizontal="center" vertical="center" textRotation="255" shrinkToFit="1"/>
    </xf>
  </cellXfs>
  <cellStyles count="2">
    <cellStyle name="ハイパーリンク" xfId="1" builtinId="8"/>
    <cellStyle name="標準" xfId="0" builtinId="0"/>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dmxcifs01\home\&#29983;&#24466;&#25351;&#23566;&#20225;&#30011;&#20418;\400_&#20307;&#32624;&#65295;&#24773;&#21205;&#65295;&#34384;&#24453;\410_&#20307;&#32624;\H29&#20307;&#32624;&#35519;&#26619;\02%20&#35519;&#26619;&#31080;&#30330;&#36865;&#65288;&#22269;&#31169;&#12408;&#65289;\01%20&#32207;&#25324;&#34920;1&#65291;&#27096;&#24335;1-1&#65374;1-9(&#25074;&#25106;&#20966;&#20998;&#3156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１"/>
      <sheetName val="様式1-1"/>
      <sheetName val="様式1-2"/>
      <sheetName val="様式1-4"/>
      <sheetName val="様式1-5"/>
      <sheetName val="様式1-6"/>
      <sheetName val="様式1-7"/>
      <sheetName val="様式1-8"/>
      <sheetName val="様式1-8（別紙）"/>
      <sheetName val="様式1-9"/>
      <sheetName val="表2-7"/>
      <sheetName val="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１　北海道</v>
          </cell>
        </row>
        <row r="2">
          <cell r="A2" t="str">
            <v>２　青森県</v>
          </cell>
        </row>
        <row r="3">
          <cell r="A3" t="str">
            <v>３　岩手県</v>
          </cell>
        </row>
        <row r="4">
          <cell r="A4" t="str">
            <v>４　宮城県</v>
          </cell>
        </row>
        <row r="5">
          <cell r="A5" t="str">
            <v>５　秋田県</v>
          </cell>
        </row>
        <row r="6">
          <cell r="A6" t="str">
            <v>６　山形県</v>
          </cell>
        </row>
        <row r="7">
          <cell r="A7" t="str">
            <v>７　福島県</v>
          </cell>
        </row>
        <row r="8">
          <cell r="A8" t="str">
            <v>８　茨城県</v>
          </cell>
        </row>
        <row r="9">
          <cell r="A9" t="str">
            <v>９　栃木県</v>
          </cell>
        </row>
        <row r="10">
          <cell r="A10" t="str">
            <v>10 群馬県</v>
          </cell>
        </row>
        <row r="11">
          <cell r="A11" t="str">
            <v>11 埼玉県</v>
          </cell>
        </row>
        <row r="12">
          <cell r="A12" t="str">
            <v>12 千葉県</v>
          </cell>
        </row>
        <row r="13">
          <cell r="A13" t="str">
            <v>13 東京都</v>
          </cell>
        </row>
        <row r="14">
          <cell r="A14" t="str">
            <v>14 神奈川県</v>
          </cell>
        </row>
        <row r="15">
          <cell r="A15" t="str">
            <v>15 新潟県</v>
          </cell>
        </row>
        <row r="16">
          <cell r="A16" t="str">
            <v>16 富山県</v>
          </cell>
        </row>
        <row r="17">
          <cell r="A17" t="str">
            <v>17 石川県</v>
          </cell>
        </row>
        <row r="18">
          <cell r="A18" t="str">
            <v>18 福井県</v>
          </cell>
        </row>
        <row r="19">
          <cell r="A19" t="str">
            <v>19 山梨県</v>
          </cell>
        </row>
        <row r="20">
          <cell r="A20" t="str">
            <v>20 長野県</v>
          </cell>
        </row>
        <row r="21">
          <cell r="A21" t="str">
            <v>21 岐阜県</v>
          </cell>
        </row>
        <row r="22">
          <cell r="A22" t="str">
            <v>22 静岡県</v>
          </cell>
        </row>
        <row r="23">
          <cell r="A23" t="str">
            <v>23 愛知県</v>
          </cell>
        </row>
        <row r="24">
          <cell r="A24" t="str">
            <v>24 三重県</v>
          </cell>
        </row>
        <row r="25">
          <cell r="A25" t="str">
            <v>25 滋賀県</v>
          </cell>
        </row>
        <row r="26">
          <cell r="A26" t="str">
            <v>26 京都府</v>
          </cell>
        </row>
        <row r="27">
          <cell r="A27" t="str">
            <v>27 大阪府</v>
          </cell>
        </row>
        <row r="28">
          <cell r="A28" t="str">
            <v>28 兵庫県</v>
          </cell>
        </row>
        <row r="29">
          <cell r="A29" t="str">
            <v>29 奈良県</v>
          </cell>
        </row>
        <row r="30">
          <cell r="A30" t="str">
            <v>30 和歌山県</v>
          </cell>
        </row>
        <row r="31">
          <cell r="A31" t="str">
            <v>31 鳥取県</v>
          </cell>
        </row>
        <row r="32">
          <cell r="A32" t="str">
            <v>32 島根県</v>
          </cell>
        </row>
        <row r="33">
          <cell r="A33" t="str">
            <v>33 岡山県</v>
          </cell>
        </row>
        <row r="34">
          <cell r="A34" t="str">
            <v>34 広島県</v>
          </cell>
        </row>
        <row r="35">
          <cell r="A35" t="str">
            <v>35 山口県</v>
          </cell>
        </row>
        <row r="36">
          <cell r="A36" t="str">
            <v>36 徳島県</v>
          </cell>
        </row>
        <row r="37">
          <cell r="A37" t="str">
            <v>37 香川県</v>
          </cell>
        </row>
        <row r="38">
          <cell r="A38" t="str">
            <v>38 愛媛県</v>
          </cell>
        </row>
        <row r="39">
          <cell r="A39" t="str">
            <v>39 高知県</v>
          </cell>
        </row>
        <row r="40">
          <cell r="A40" t="str">
            <v>40 福岡県</v>
          </cell>
        </row>
        <row r="41">
          <cell r="A41" t="str">
            <v>41 佐賀県</v>
          </cell>
        </row>
        <row r="42">
          <cell r="A42" t="str">
            <v>42 長崎県</v>
          </cell>
        </row>
        <row r="43">
          <cell r="A43" t="str">
            <v>43 熊本県</v>
          </cell>
        </row>
        <row r="44">
          <cell r="A44" t="str">
            <v>44 大分県</v>
          </cell>
        </row>
        <row r="45">
          <cell r="A45" t="str">
            <v>45 宮崎県</v>
          </cell>
        </row>
        <row r="46">
          <cell r="A46" t="str">
            <v>46 鹿児島県</v>
          </cell>
        </row>
        <row r="47">
          <cell r="A47" t="str">
            <v>47 沖縄県</v>
          </cell>
        </row>
        <row r="48">
          <cell r="A48" t="str">
            <v>48 札幌市</v>
          </cell>
        </row>
        <row r="49">
          <cell r="A49" t="str">
            <v>49 仙台市</v>
          </cell>
        </row>
        <row r="50">
          <cell r="A50" t="str">
            <v>50 さいたま市</v>
          </cell>
        </row>
        <row r="51">
          <cell r="A51" t="str">
            <v>51 千葉市</v>
          </cell>
        </row>
        <row r="52">
          <cell r="A52" t="str">
            <v>52 川崎市</v>
          </cell>
        </row>
        <row r="53">
          <cell r="A53" t="str">
            <v>53 横浜市</v>
          </cell>
        </row>
        <row r="54">
          <cell r="A54" t="str">
            <v>54 相模原市</v>
          </cell>
        </row>
        <row r="55">
          <cell r="A55" t="str">
            <v>55 新潟市</v>
          </cell>
        </row>
        <row r="56">
          <cell r="A56" t="str">
            <v>56 静岡市</v>
          </cell>
        </row>
        <row r="57">
          <cell r="A57" t="str">
            <v>57 浜松市</v>
          </cell>
        </row>
        <row r="58">
          <cell r="A58" t="str">
            <v>58 名古屋市</v>
          </cell>
        </row>
        <row r="59">
          <cell r="A59" t="str">
            <v>59 京都市</v>
          </cell>
        </row>
        <row r="60">
          <cell r="A60" t="str">
            <v>60 大阪市</v>
          </cell>
        </row>
        <row r="61">
          <cell r="A61" t="str">
            <v>61 堺市</v>
          </cell>
        </row>
        <row r="62">
          <cell r="A62" t="str">
            <v>62 神戸市</v>
          </cell>
        </row>
        <row r="63">
          <cell r="A63" t="str">
            <v>63 岡山市</v>
          </cell>
        </row>
        <row r="64">
          <cell r="A64" t="str">
            <v>64 広島市</v>
          </cell>
        </row>
        <row r="65">
          <cell r="A65" t="str">
            <v>65 北九州市</v>
          </cell>
        </row>
        <row r="66">
          <cell r="A66" t="str">
            <v>66 福岡市</v>
          </cell>
        </row>
        <row r="67">
          <cell r="A67" t="str">
            <v>67 熊本市</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CC"/>
    <pageSetUpPr fitToPage="1"/>
  </sheetPr>
  <dimension ref="A1:DT65"/>
  <sheetViews>
    <sheetView tabSelected="1" view="pageBreakPreview" zoomScale="70" zoomScaleNormal="70" zoomScaleSheetLayoutView="70" workbookViewId="0">
      <selection activeCell="C2" sqref="C2"/>
    </sheetView>
  </sheetViews>
  <sheetFormatPr defaultRowHeight="13.5"/>
  <cols>
    <col min="1" max="1" width="5.625" style="5" customWidth="1"/>
    <col min="2" max="3" width="13.625" style="5" customWidth="1"/>
    <col min="4" max="5" width="8.625" style="5" customWidth="1"/>
    <col min="6" max="51" width="3.125" style="5" customWidth="1"/>
    <col min="52" max="53" width="13.625" style="5" customWidth="1"/>
    <col min="54" max="54" width="17.625" style="5" customWidth="1"/>
    <col min="55" max="55" width="15.625" style="5" customWidth="1"/>
    <col min="56" max="66" width="3.5" style="5" customWidth="1"/>
    <col min="67" max="67" width="5.125" style="5" customWidth="1"/>
    <col min="68" max="68" width="23.5" style="5" customWidth="1"/>
    <col min="69" max="69" width="6.625" style="5" customWidth="1"/>
    <col min="70" max="124" width="6.125" style="5" customWidth="1"/>
    <col min="125" max="16384" width="9" style="5"/>
  </cols>
  <sheetData>
    <row r="1" spans="1:87" customFormat="1" ht="36.950000000000003" customHeight="1">
      <c r="A1" s="55" t="s">
        <v>41</v>
      </c>
      <c r="AE1" s="1"/>
      <c r="AF1" s="1"/>
      <c r="AG1" s="1"/>
      <c r="AH1" s="1"/>
      <c r="AI1" s="1"/>
      <c r="AJ1" s="1"/>
      <c r="AK1" s="1"/>
      <c r="AL1" s="1"/>
      <c r="AM1" s="1"/>
      <c r="AN1" s="1"/>
      <c r="AO1" s="1"/>
      <c r="AP1" s="1"/>
      <c r="AQ1" s="1"/>
      <c r="AR1" s="1"/>
      <c r="AS1" s="1"/>
      <c r="AT1" s="1"/>
      <c r="AU1" s="1"/>
      <c r="AV1" s="1"/>
      <c r="AW1" s="1"/>
      <c r="AX1" s="1"/>
      <c r="AY1" s="1"/>
      <c r="AZ1" s="1"/>
      <c r="BK1" s="159" t="str">
        <f>IF(SUM(CC9:CI38)&gt;=1,"CHECK","")</f>
        <v/>
      </c>
      <c r="BL1" s="159"/>
      <c r="BM1" s="159"/>
      <c r="BN1" s="159"/>
      <c r="BO1" s="159"/>
      <c r="BP1" s="65" t="str">
        <f>IF(SUM(CC9:CI38)&gt;=1,"当事者の学校種と被害児童生徒の学校種が一致していませんが間違いありませんか。","")</f>
        <v/>
      </c>
    </row>
    <row r="2" spans="1:87" customFormat="1" ht="36" customHeight="1">
      <c r="A2" s="202" t="s">
        <v>54</v>
      </c>
      <c r="B2" s="203"/>
      <c r="C2" s="3"/>
      <c r="D2" s="214" t="s">
        <v>176</v>
      </c>
      <c r="E2" s="207"/>
      <c r="F2" s="207"/>
      <c r="G2" s="207"/>
      <c r="H2" s="207"/>
      <c r="I2" s="207"/>
      <c r="J2" s="207"/>
      <c r="K2" s="207"/>
      <c r="L2" s="207"/>
      <c r="M2" s="207"/>
      <c r="N2" s="207"/>
      <c r="O2" s="207"/>
      <c r="P2" s="207"/>
      <c r="Q2" s="207"/>
      <c r="R2" s="208"/>
      <c r="S2" s="204" t="s">
        <v>0</v>
      </c>
      <c r="T2" s="205"/>
      <c r="U2" s="205"/>
      <c r="V2" s="205"/>
      <c r="W2" s="205"/>
      <c r="X2" s="205"/>
      <c r="Y2" s="205"/>
      <c r="Z2" s="205"/>
      <c r="AA2" s="205"/>
      <c r="AB2" s="206"/>
      <c r="AC2" s="207"/>
      <c r="AD2" s="207"/>
      <c r="AE2" s="207"/>
      <c r="AF2" s="207"/>
      <c r="AG2" s="207"/>
      <c r="AH2" s="207"/>
      <c r="AI2" s="207"/>
      <c r="AJ2" s="207"/>
      <c r="AK2" s="207"/>
      <c r="AL2" s="207"/>
      <c r="AM2" s="207"/>
      <c r="AN2" s="207"/>
      <c r="AO2" s="208"/>
      <c r="AP2" s="1"/>
      <c r="AQ2" s="1"/>
      <c r="BO2" s="2"/>
      <c r="BP2" s="65" t="str">
        <f>IF(SUM(CC9:CI38)&gt;=1,"（一致していなくても間違いない場合はそのまま提出してかまいません。）","")</f>
        <v/>
      </c>
    </row>
    <row r="3" spans="1:87" customFormat="1" ht="36" customHeight="1">
      <c r="A3" s="204" t="s">
        <v>1</v>
      </c>
      <c r="B3" s="205"/>
      <c r="C3" s="209"/>
      <c r="D3" s="209"/>
      <c r="E3" s="210" t="s">
        <v>55</v>
      </c>
      <c r="F3" s="211"/>
      <c r="G3" s="211"/>
      <c r="H3" s="211"/>
      <c r="I3" s="211"/>
      <c r="J3" s="211"/>
      <c r="K3" s="211"/>
      <c r="L3" s="211"/>
      <c r="M3" s="206"/>
      <c r="N3" s="207"/>
      <c r="O3" s="207"/>
      <c r="P3" s="207"/>
      <c r="Q3" s="207"/>
      <c r="R3" s="207"/>
      <c r="S3" s="207"/>
      <c r="T3" s="207"/>
      <c r="U3" s="207"/>
      <c r="V3" s="207"/>
      <c r="W3" s="204" t="s">
        <v>2</v>
      </c>
      <c r="X3" s="205"/>
      <c r="Y3" s="205"/>
      <c r="Z3" s="205"/>
      <c r="AA3" s="212"/>
      <c r="AB3" s="213"/>
      <c r="AC3" s="207"/>
      <c r="AD3" s="207"/>
      <c r="AE3" s="207"/>
      <c r="AF3" s="207"/>
      <c r="AG3" s="207"/>
      <c r="AH3" s="207"/>
      <c r="AI3" s="207"/>
      <c r="AJ3" s="207"/>
      <c r="AK3" s="207"/>
      <c r="AL3" s="207"/>
      <c r="AM3" s="207"/>
      <c r="AN3" s="207"/>
      <c r="AO3" s="208"/>
      <c r="AP3" s="1"/>
      <c r="AQ3" s="1"/>
      <c r="AZ3" s="4"/>
      <c r="BA3" s="4"/>
      <c r="BB3" s="4"/>
      <c r="BC3" s="4"/>
      <c r="BD3" s="4"/>
      <c r="BE3" s="4"/>
      <c r="BK3" s="159" t="str">
        <f>IF(COUNTIF(BP9:BP38,"未入力の欄があります。")&gt;=1,"未入力あり","")</f>
        <v/>
      </c>
      <c r="BL3" s="159"/>
      <c r="BM3" s="159"/>
      <c r="BN3" s="159"/>
      <c r="BO3" s="159"/>
    </row>
    <row r="4" spans="1:87" ht="18" customHeight="1" thickBot="1">
      <c r="E4" s="6"/>
      <c r="F4" s="6"/>
      <c r="G4" s="6"/>
      <c r="H4" s="6"/>
      <c r="I4" s="6"/>
      <c r="J4" s="6"/>
      <c r="K4" s="6"/>
      <c r="L4" s="6"/>
      <c r="M4" s="6"/>
      <c r="N4" s="6"/>
      <c r="O4" s="6"/>
      <c r="AZ4" s="7"/>
      <c r="BK4" s="160" t="s">
        <v>32</v>
      </c>
      <c r="BL4" s="160"/>
      <c r="BM4" s="160"/>
      <c r="BN4" s="160"/>
      <c r="BO4" s="160"/>
    </row>
    <row r="5" spans="1:87" ht="33.950000000000003" customHeight="1">
      <c r="A5" s="170" t="s">
        <v>33</v>
      </c>
      <c r="B5" s="173" t="s">
        <v>34</v>
      </c>
      <c r="C5" s="174"/>
      <c r="D5" s="174"/>
      <c r="E5" s="179" t="s">
        <v>35</v>
      </c>
      <c r="F5" s="116" t="s">
        <v>175</v>
      </c>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8"/>
      <c r="AZ5" s="150" t="s">
        <v>4</v>
      </c>
      <c r="BA5" s="151"/>
      <c r="BB5" s="156" t="s">
        <v>5</v>
      </c>
      <c r="BC5" s="156" t="s">
        <v>6</v>
      </c>
      <c r="BD5" s="182" t="s">
        <v>7</v>
      </c>
      <c r="BE5" s="183"/>
      <c r="BF5" s="183"/>
      <c r="BG5" s="183"/>
      <c r="BH5" s="184"/>
      <c r="BI5" s="161" t="s">
        <v>8</v>
      </c>
      <c r="BJ5" s="162"/>
      <c r="BK5" s="162"/>
      <c r="BL5" s="162"/>
      <c r="BM5" s="162"/>
      <c r="BN5" s="163"/>
      <c r="BO5" s="164" t="s">
        <v>9</v>
      </c>
    </row>
    <row r="6" spans="1:87" ht="33.950000000000003" customHeight="1">
      <c r="A6" s="171"/>
      <c r="B6" s="175"/>
      <c r="C6" s="176"/>
      <c r="D6" s="176"/>
      <c r="E6" s="180"/>
      <c r="F6" s="185" t="s">
        <v>161</v>
      </c>
      <c r="G6" s="186"/>
      <c r="H6" s="186"/>
      <c r="I6" s="187"/>
      <c r="J6" s="185" t="s">
        <v>13</v>
      </c>
      <c r="K6" s="186"/>
      <c r="L6" s="186"/>
      <c r="M6" s="186"/>
      <c r="N6" s="186"/>
      <c r="O6" s="187"/>
      <c r="P6" s="191" t="s">
        <v>14</v>
      </c>
      <c r="Q6" s="192"/>
      <c r="R6" s="193"/>
      <c r="S6" s="191" t="s">
        <v>31</v>
      </c>
      <c r="T6" s="192"/>
      <c r="U6" s="192"/>
      <c r="V6" s="192"/>
      <c r="W6" s="192"/>
      <c r="X6" s="192"/>
      <c r="Y6" s="192"/>
      <c r="Z6" s="192"/>
      <c r="AA6" s="193"/>
      <c r="AB6" s="185" t="s">
        <v>15</v>
      </c>
      <c r="AC6" s="186"/>
      <c r="AD6" s="187"/>
      <c r="AE6" s="197" t="s">
        <v>16</v>
      </c>
      <c r="AF6" s="114"/>
      <c r="AG6" s="114"/>
      <c r="AH6" s="114"/>
      <c r="AI6" s="114"/>
      <c r="AJ6" s="115"/>
      <c r="AK6" s="112" t="s">
        <v>167</v>
      </c>
      <c r="AL6" s="112"/>
      <c r="AM6" s="112"/>
      <c r="AN6" s="112"/>
      <c r="AO6" s="112"/>
      <c r="AP6" s="112"/>
      <c r="AQ6" s="112"/>
      <c r="AR6" s="112"/>
      <c r="AS6" s="112"/>
      <c r="AT6" s="112"/>
      <c r="AU6" s="112"/>
      <c r="AV6" s="112"/>
      <c r="AW6" s="112"/>
      <c r="AX6" s="112"/>
      <c r="AY6" s="113"/>
      <c r="AZ6" s="152"/>
      <c r="BA6" s="153"/>
      <c r="BB6" s="157"/>
      <c r="BC6" s="157"/>
      <c r="BD6" s="140" t="s">
        <v>172</v>
      </c>
      <c r="BE6" s="143" t="s">
        <v>18</v>
      </c>
      <c r="BF6" s="143" t="s">
        <v>19</v>
      </c>
      <c r="BG6" s="143" t="s">
        <v>20</v>
      </c>
      <c r="BH6" s="199" t="s">
        <v>21</v>
      </c>
      <c r="BI6" s="140" t="s">
        <v>22</v>
      </c>
      <c r="BJ6" s="143" t="s">
        <v>23</v>
      </c>
      <c r="BK6" s="143" t="s">
        <v>173</v>
      </c>
      <c r="BL6" s="143" t="s">
        <v>174</v>
      </c>
      <c r="BM6" s="143" t="s">
        <v>24</v>
      </c>
      <c r="BN6" s="167" t="s">
        <v>25</v>
      </c>
      <c r="BO6" s="165"/>
    </row>
    <row r="7" spans="1:87" ht="33.950000000000003" customHeight="1">
      <c r="A7" s="171"/>
      <c r="B7" s="177"/>
      <c r="C7" s="178"/>
      <c r="D7" s="178"/>
      <c r="E7" s="180"/>
      <c r="F7" s="188"/>
      <c r="G7" s="189"/>
      <c r="H7" s="189"/>
      <c r="I7" s="190"/>
      <c r="J7" s="188"/>
      <c r="K7" s="189"/>
      <c r="L7" s="189"/>
      <c r="M7" s="189"/>
      <c r="N7" s="189"/>
      <c r="O7" s="190"/>
      <c r="P7" s="194"/>
      <c r="Q7" s="195"/>
      <c r="R7" s="196"/>
      <c r="S7" s="194"/>
      <c r="T7" s="195"/>
      <c r="U7" s="195"/>
      <c r="V7" s="195"/>
      <c r="W7" s="195"/>
      <c r="X7" s="195"/>
      <c r="Y7" s="195"/>
      <c r="Z7" s="195"/>
      <c r="AA7" s="196"/>
      <c r="AB7" s="188"/>
      <c r="AC7" s="189"/>
      <c r="AD7" s="190"/>
      <c r="AE7" s="197" t="s">
        <v>26</v>
      </c>
      <c r="AF7" s="114"/>
      <c r="AG7" s="115"/>
      <c r="AH7" s="197" t="s">
        <v>27</v>
      </c>
      <c r="AI7" s="114"/>
      <c r="AJ7" s="115"/>
      <c r="AK7" s="114" t="s">
        <v>166</v>
      </c>
      <c r="AL7" s="114"/>
      <c r="AM7" s="115"/>
      <c r="AN7" s="197" t="s">
        <v>28</v>
      </c>
      <c r="AO7" s="114"/>
      <c r="AP7" s="115"/>
      <c r="AQ7" s="114"/>
      <c r="AR7" s="114"/>
      <c r="AS7" s="115"/>
      <c r="AT7" s="197" t="s">
        <v>29</v>
      </c>
      <c r="AU7" s="114"/>
      <c r="AV7" s="115"/>
      <c r="AW7" s="197" t="s">
        <v>30</v>
      </c>
      <c r="AX7" s="114"/>
      <c r="AY7" s="198"/>
      <c r="AZ7" s="154"/>
      <c r="BA7" s="155"/>
      <c r="BB7" s="157"/>
      <c r="BC7" s="157"/>
      <c r="BD7" s="141"/>
      <c r="BE7" s="144"/>
      <c r="BF7" s="144"/>
      <c r="BG7" s="144"/>
      <c r="BH7" s="200"/>
      <c r="BI7" s="141"/>
      <c r="BJ7" s="144"/>
      <c r="BK7" s="144"/>
      <c r="BL7" s="144"/>
      <c r="BM7" s="144"/>
      <c r="BN7" s="168"/>
      <c r="BO7" s="165"/>
      <c r="BQ7" s="249" t="s">
        <v>168</v>
      </c>
      <c r="BR7" s="146" t="s">
        <v>63</v>
      </c>
      <c r="BS7" s="147"/>
      <c r="BT7" s="147"/>
      <c r="BU7" s="147"/>
      <c r="BV7" s="147"/>
      <c r="BW7" s="147"/>
      <c r="BX7" s="147"/>
      <c r="BY7" s="147"/>
      <c r="BZ7" s="147"/>
      <c r="CA7" s="148"/>
      <c r="CC7" s="146" t="s">
        <v>64</v>
      </c>
      <c r="CD7" s="147"/>
      <c r="CE7" s="147"/>
      <c r="CF7" s="147"/>
      <c r="CG7" s="147"/>
      <c r="CH7" s="147"/>
      <c r="CI7" s="148"/>
    </row>
    <row r="8" spans="1:87" ht="42" customHeight="1" thickBot="1">
      <c r="A8" s="172"/>
      <c r="B8" s="53" t="s">
        <v>10</v>
      </c>
      <c r="C8" s="54" t="s">
        <v>11</v>
      </c>
      <c r="D8" s="54" t="s">
        <v>12</v>
      </c>
      <c r="E8" s="181"/>
      <c r="F8" s="51" t="s">
        <v>165</v>
      </c>
      <c r="G8" s="51" t="s">
        <v>162</v>
      </c>
      <c r="H8" s="51" t="s">
        <v>163</v>
      </c>
      <c r="I8" s="51" t="s">
        <v>164</v>
      </c>
      <c r="J8" s="51" t="s">
        <v>56</v>
      </c>
      <c r="K8" s="51" t="s">
        <v>57</v>
      </c>
      <c r="L8" s="51" t="s">
        <v>58</v>
      </c>
      <c r="M8" s="51" t="s">
        <v>59</v>
      </c>
      <c r="N8" s="51" t="s">
        <v>60</v>
      </c>
      <c r="O8" s="51" t="s">
        <v>61</v>
      </c>
      <c r="P8" s="51" t="s">
        <v>56</v>
      </c>
      <c r="Q8" s="51" t="s">
        <v>57</v>
      </c>
      <c r="R8" s="51" t="s">
        <v>58</v>
      </c>
      <c r="S8" s="52" t="s">
        <v>45</v>
      </c>
      <c r="T8" s="52" t="s">
        <v>46</v>
      </c>
      <c r="U8" s="52" t="s">
        <v>47</v>
      </c>
      <c r="V8" s="52" t="s">
        <v>48</v>
      </c>
      <c r="W8" s="52" t="s">
        <v>49</v>
      </c>
      <c r="X8" s="52" t="s">
        <v>50</v>
      </c>
      <c r="Y8" s="52" t="s">
        <v>51</v>
      </c>
      <c r="Z8" s="52" t="s">
        <v>52</v>
      </c>
      <c r="AA8" s="52" t="s">
        <v>53</v>
      </c>
      <c r="AB8" s="51" t="s">
        <v>56</v>
      </c>
      <c r="AC8" s="51" t="s">
        <v>57</v>
      </c>
      <c r="AD8" s="51" t="s">
        <v>58</v>
      </c>
      <c r="AE8" s="51" t="s">
        <v>56</v>
      </c>
      <c r="AF8" s="51" t="s">
        <v>57</v>
      </c>
      <c r="AG8" s="51" t="s">
        <v>58</v>
      </c>
      <c r="AH8" s="51" t="s">
        <v>56</v>
      </c>
      <c r="AI8" s="51" t="s">
        <v>57</v>
      </c>
      <c r="AJ8" s="51" t="s">
        <v>58</v>
      </c>
      <c r="AK8" s="51" t="s">
        <v>162</v>
      </c>
      <c r="AL8" s="51" t="s">
        <v>163</v>
      </c>
      <c r="AM8" s="51" t="s">
        <v>164</v>
      </c>
      <c r="AN8" s="51" t="s">
        <v>56</v>
      </c>
      <c r="AO8" s="51" t="s">
        <v>57</v>
      </c>
      <c r="AP8" s="51" t="s">
        <v>58</v>
      </c>
      <c r="AQ8" s="51" t="s">
        <v>59</v>
      </c>
      <c r="AR8" s="51" t="s">
        <v>60</v>
      </c>
      <c r="AS8" s="51" t="s">
        <v>61</v>
      </c>
      <c r="AT8" s="51" t="s">
        <v>56</v>
      </c>
      <c r="AU8" s="51" t="s">
        <v>57</v>
      </c>
      <c r="AV8" s="51" t="s">
        <v>58</v>
      </c>
      <c r="AW8" s="51" t="s">
        <v>56</v>
      </c>
      <c r="AX8" s="51" t="s">
        <v>57</v>
      </c>
      <c r="AY8" s="51" t="s">
        <v>58</v>
      </c>
      <c r="AZ8" s="56" t="s">
        <v>36</v>
      </c>
      <c r="BA8" s="57" t="s">
        <v>37</v>
      </c>
      <c r="BB8" s="158"/>
      <c r="BC8" s="158"/>
      <c r="BD8" s="142"/>
      <c r="BE8" s="145"/>
      <c r="BF8" s="145"/>
      <c r="BG8" s="145"/>
      <c r="BH8" s="201"/>
      <c r="BI8" s="142"/>
      <c r="BJ8" s="145"/>
      <c r="BK8" s="145"/>
      <c r="BL8" s="145"/>
      <c r="BM8" s="145"/>
      <c r="BN8" s="169"/>
      <c r="BO8" s="166"/>
      <c r="BQ8" s="249"/>
      <c r="BR8" s="62" t="s">
        <v>62</v>
      </c>
      <c r="BS8" s="62" t="s">
        <v>65</v>
      </c>
      <c r="BT8" s="62" t="s">
        <v>66</v>
      </c>
      <c r="BU8" s="62" t="s">
        <v>67</v>
      </c>
      <c r="BV8" s="62" t="s">
        <v>68</v>
      </c>
      <c r="BW8" s="62" t="s">
        <v>69</v>
      </c>
      <c r="BX8" s="62" t="s">
        <v>70</v>
      </c>
      <c r="BY8" s="62" t="s">
        <v>71</v>
      </c>
      <c r="BZ8" s="62" t="s">
        <v>72</v>
      </c>
      <c r="CA8" s="62" t="s">
        <v>73</v>
      </c>
      <c r="CC8" s="63" t="s">
        <v>169</v>
      </c>
      <c r="CD8" s="62" t="s">
        <v>74</v>
      </c>
      <c r="CE8" s="62" t="s">
        <v>75</v>
      </c>
      <c r="CF8" s="62" t="s">
        <v>76</v>
      </c>
      <c r="CG8" s="62" t="s">
        <v>77</v>
      </c>
      <c r="CH8" s="62" t="s">
        <v>78</v>
      </c>
      <c r="CI8" s="62" t="s">
        <v>79</v>
      </c>
    </row>
    <row r="9" spans="1:87" ht="23.45" customHeight="1">
      <c r="A9" s="58">
        <v>1</v>
      </c>
      <c r="B9" s="24"/>
      <c r="C9" s="25"/>
      <c r="D9" s="25"/>
      <c r="E9" s="26"/>
      <c r="F9" s="37"/>
      <c r="G9" s="36"/>
      <c r="H9" s="36"/>
      <c r="I9" s="36"/>
      <c r="J9" s="37"/>
      <c r="K9" s="38"/>
      <c r="L9" s="36"/>
      <c r="M9" s="36"/>
      <c r="N9" s="36"/>
      <c r="O9" s="36"/>
      <c r="P9" s="38"/>
      <c r="Q9" s="38"/>
      <c r="R9" s="38"/>
      <c r="S9" s="38"/>
      <c r="T9" s="38"/>
      <c r="U9" s="38"/>
      <c r="V9" s="38"/>
      <c r="W9" s="38"/>
      <c r="X9" s="38"/>
      <c r="Y9" s="38"/>
      <c r="Z9" s="38"/>
      <c r="AA9" s="38"/>
      <c r="AB9" s="36"/>
      <c r="AC9" s="36"/>
      <c r="AD9" s="36"/>
      <c r="AE9" s="36"/>
      <c r="AF9" s="36"/>
      <c r="AG9" s="36"/>
      <c r="AH9" s="36"/>
      <c r="AI9" s="36"/>
      <c r="AJ9" s="36"/>
      <c r="AK9" s="36"/>
      <c r="AL9" s="36"/>
      <c r="AM9" s="36"/>
      <c r="AN9" s="36"/>
      <c r="AO9" s="36"/>
      <c r="AP9" s="36"/>
      <c r="AQ9" s="39"/>
      <c r="AR9" s="36"/>
      <c r="AS9" s="36"/>
      <c r="AT9" s="36"/>
      <c r="AU9" s="36"/>
      <c r="AV9" s="36"/>
      <c r="AW9" s="36"/>
      <c r="AX9" s="36"/>
      <c r="AY9" s="40"/>
      <c r="AZ9" s="25"/>
      <c r="BA9" s="25"/>
      <c r="BB9" s="33"/>
      <c r="BC9" s="25"/>
      <c r="BD9" s="8"/>
      <c r="BE9" s="10"/>
      <c r="BF9" s="10"/>
      <c r="BG9" s="10"/>
      <c r="BH9" s="9"/>
      <c r="BI9" s="8"/>
      <c r="BJ9" s="10"/>
      <c r="BK9" s="10"/>
      <c r="BL9" s="10"/>
      <c r="BM9" s="10"/>
      <c r="BN9" s="11"/>
      <c r="BO9" s="12"/>
      <c r="BP9" s="66" t="str">
        <f>IF((AND(BQ9&gt;=1,CA9&gt;=1)),"未入力の欄があります。","")</f>
        <v/>
      </c>
      <c r="BQ9" s="88">
        <f t="shared" ref="BQ9" si="0">COUNTA(B9,C9,D9)</f>
        <v>0</v>
      </c>
      <c r="BR9" s="88">
        <f t="shared" ref="BR9" si="1">IF(OR(COUNTA(B9,C9,D9)=1,COUNTA(B9,C9,D9)=2),1,0)</f>
        <v>0</v>
      </c>
      <c r="BS9" s="88">
        <f t="shared" ref="BS9" si="2">IF(COUNTA(E9)=0,1,0)</f>
        <v>1</v>
      </c>
      <c r="BT9" s="88">
        <f>IF(SUM(F9:AY9)=0,1,0)</f>
        <v>1</v>
      </c>
      <c r="BU9" s="88">
        <f t="shared" ref="BU9" si="3">IF(COUNTA(AZ9)=0,1,0)</f>
        <v>1</v>
      </c>
      <c r="BV9" s="88">
        <f t="shared" ref="BV9" si="4">IF(COUNTA(BA9)=0,1,0)</f>
        <v>1</v>
      </c>
      <c r="BW9" s="88">
        <f t="shared" ref="BW9" si="5">IF(COUNTA(BB9)=0,1,0)</f>
        <v>1</v>
      </c>
      <c r="BX9" s="88">
        <f t="shared" ref="BX9" si="6">IF(COUNTA(BC9)=0,1,0)</f>
        <v>1</v>
      </c>
      <c r="BY9" s="88">
        <f t="shared" ref="BY9" si="7">IF(SUM(BD9:BH9)=0,1,0)</f>
        <v>1</v>
      </c>
      <c r="BZ9" s="88">
        <f t="shared" ref="BZ9" si="8">IF(SUM(BI9:BN9)=0,1,0)</f>
        <v>1</v>
      </c>
      <c r="CA9" s="88">
        <f>SUM(BR9:BZ9)</f>
        <v>8</v>
      </c>
      <c r="CC9" s="89" t="str">
        <f>IF(AND(B9="ア 幼稚園",SUM(J9:AY9)&gt;=1),1,"")</f>
        <v/>
      </c>
      <c r="CD9" s="64" t="str">
        <f>IF(AND(B9="イ 小学校",SUM(F9:I9,P9:AY9)&gt;=1),1,"")</f>
        <v/>
      </c>
      <c r="CE9" s="64" t="str">
        <f>IF(AND(B9="ウ 中学校",SUM(F9:O9,S9:AY9)&gt;=1),1,"")</f>
        <v/>
      </c>
      <c r="CF9" s="64" t="str">
        <f>IF(AND(B9="エ 義務教育学校",SUM(F9:R9,AB9:AY9)&gt;=1),1,"")</f>
        <v/>
      </c>
      <c r="CG9" s="64" t="str">
        <f>IF(AND(B9="オ 高等学校",SUM(F9:AA9,AE9:AY9)&gt;=1),1,"")</f>
        <v/>
      </c>
      <c r="CH9" s="64" t="str">
        <f>IF(AND(B9="カ 中等教育学校",SUM(F9:AD9,AK9:AY9)&gt;=1),1,"")</f>
        <v/>
      </c>
      <c r="CI9" s="64" t="str">
        <f>IF(AND(B9="キ 特別支援学校",SUM(F9:AJ9)&gt;=1),1,"")</f>
        <v/>
      </c>
    </row>
    <row r="10" spans="1:87" ht="23.45" customHeight="1">
      <c r="A10" s="59">
        <v>2</v>
      </c>
      <c r="B10" s="27"/>
      <c r="C10" s="28"/>
      <c r="D10" s="28"/>
      <c r="E10" s="29"/>
      <c r="F10" s="41"/>
      <c r="G10" s="43"/>
      <c r="H10" s="43"/>
      <c r="I10" s="43"/>
      <c r="J10" s="41"/>
      <c r="K10" s="42"/>
      <c r="L10" s="43"/>
      <c r="M10" s="43"/>
      <c r="N10" s="43"/>
      <c r="O10" s="43"/>
      <c r="P10" s="42"/>
      <c r="Q10" s="42"/>
      <c r="R10" s="42"/>
      <c r="S10" s="42"/>
      <c r="T10" s="42"/>
      <c r="U10" s="42"/>
      <c r="V10" s="42"/>
      <c r="W10" s="42"/>
      <c r="X10" s="42"/>
      <c r="Y10" s="42"/>
      <c r="Z10" s="42"/>
      <c r="AA10" s="42"/>
      <c r="AB10" s="43"/>
      <c r="AC10" s="43"/>
      <c r="AD10" s="43"/>
      <c r="AE10" s="43"/>
      <c r="AF10" s="43"/>
      <c r="AG10" s="43"/>
      <c r="AH10" s="43"/>
      <c r="AI10" s="43"/>
      <c r="AJ10" s="43"/>
      <c r="AK10" s="43"/>
      <c r="AL10" s="43"/>
      <c r="AM10" s="43"/>
      <c r="AN10" s="43"/>
      <c r="AO10" s="43"/>
      <c r="AP10" s="43"/>
      <c r="AQ10" s="44"/>
      <c r="AR10" s="43"/>
      <c r="AS10" s="43"/>
      <c r="AT10" s="43"/>
      <c r="AU10" s="43"/>
      <c r="AV10" s="43"/>
      <c r="AW10" s="43"/>
      <c r="AX10" s="43"/>
      <c r="AY10" s="45"/>
      <c r="AZ10" s="28"/>
      <c r="BA10" s="28"/>
      <c r="BB10" s="34"/>
      <c r="BC10" s="28"/>
      <c r="BD10" s="13"/>
      <c r="BE10" s="15"/>
      <c r="BF10" s="15"/>
      <c r="BG10" s="15"/>
      <c r="BH10" s="14"/>
      <c r="BI10" s="13"/>
      <c r="BJ10" s="15"/>
      <c r="BK10" s="15"/>
      <c r="BL10" s="15"/>
      <c r="BM10" s="15"/>
      <c r="BN10" s="16"/>
      <c r="BO10" s="17"/>
      <c r="BP10" s="66" t="str">
        <f t="shared" ref="BP10:BP38" si="9">IF((AND(BQ10&gt;=1,CA10&gt;=1)),"未入力の欄があります。","")</f>
        <v/>
      </c>
      <c r="BQ10" s="88">
        <f t="shared" ref="BQ10:BQ38" si="10">COUNTA(B10,C10,D10)</f>
        <v>0</v>
      </c>
      <c r="BR10" s="88">
        <f t="shared" ref="BR10:BR38" si="11">IF(OR(COUNTA(B10,C10,D10)=1,COUNTA(B10,C10,D10)=2),1,0)</f>
        <v>0</v>
      </c>
      <c r="BS10" s="88">
        <f t="shared" ref="BS10:BS38" si="12">IF(COUNTA(E10)=0,1,0)</f>
        <v>1</v>
      </c>
      <c r="BT10" s="88">
        <f t="shared" ref="BT10:BT38" si="13">IF(SUM(F10:AY10)=0,1,0)</f>
        <v>1</v>
      </c>
      <c r="BU10" s="88">
        <f t="shared" ref="BU10:BU38" si="14">IF(COUNTA(AZ10)=0,1,0)</f>
        <v>1</v>
      </c>
      <c r="BV10" s="88">
        <f t="shared" ref="BV10:BV38" si="15">IF(COUNTA(BA10)=0,1,0)</f>
        <v>1</v>
      </c>
      <c r="BW10" s="88">
        <f t="shared" ref="BW10:BW38" si="16">IF(COUNTA(BB10)=0,1,0)</f>
        <v>1</v>
      </c>
      <c r="BX10" s="88">
        <f t="shared" ref="BX10:BX38" si="17">IF(COUNTA(BC10)=0,1,0)</f>
        <v>1</v>
      </c>
      <c r="BY10" s="88">
        <f t="shared" ref="BY10:BY38" si="18">IF(SUM(BD10:BH10)=0,1,0)</f>
        <v>1</v>
      </c>
      <c r="BZ10" s="88">
        <f t="shared" ref="BZ10:BZ38" si="19">IF(SUM(BI10:BN10)=0,1,0)</f>
        <v>1</v>
      </c>
      <c r="CA10" s="88">
        <f t="shared" ref="CA10:CA38" si="20">SUM(BR10:BZ10)</f>
        <v>8</v>
      </c>
      <c r="CC10" s="89" t="str">
        <f t="shared" ref="CC10:CC38" si="21">IF(AND(B10="ア 幼稚園",SUM(J10:AY10)&gt;=1),1,"")</f>
        <v/>
      </c>
      <c r="CD10" s="64" t="str">
        <f t="shared" ref="CD10:CD38" si="22">IF(AND(B10="イ 小学校",SUM(F10:I10,P10:AY10)&gt;=1),1,"")</f>
        <v/>
      </c>
      <c r="CE10" s="64" t="str">
        <f t="shared" ref="CE10:CE38" si="23">IF(AND(B10="ウ 中学校",SUM(F10:O10,S10:AY10)&gt;=1),1,"")</f>
        <v/>
      </c>
      <c r="CF10" s="64" t="str">
        <f t="shared" ref="CF10:CF38" si="24">IF(AND(B10="エ 義務教育学校",SUM(F10:R10,AB10:AY10)&gt;=1),1,"")</f>
        <v/>
      </c>
      <c r="CG10" s="64" t="str">
        <f t="shared" ref="CG10:CG38" si="25">IF(AND(B10="オ 高等学校",SUM(F10:AA10,AE10:AY10)&gt;=1),1,"")</f>
        <v/>
      </c>
      <c r="CH10" s="64" t="str">
        <f t="shared" ref="CH10:CH38" si="26">IF(AND(B10="カ 中等教育学校",SUM(F10:AD10,AK10:AY10)&gt;=1),1,"")</f>
        <v/>
      </c>
      <c r="CI10" s="64" t="str">
        <f t="shared" ref="CI10:CI38" si="27">IF(AND(B10="キ 特別支援学校",SUM(F10:AJ10)&gt;=1),1,"")</f>
        <v/>
      </c>
    </row>
    <row r="11" spans="1:87" ht="23.45" customHeight="1">
      <c r="A11" s="59">
        <v>3</v>
      </c>
      <c r="B11" s="27"/>
      <c r="C11" s="28"/>
      <c r="D11" s="28"/>
      <c r="E11" s="29"/>
      <c r="F11" s="41"/>
      <c r="G11" s="43"/>
      <c r="H11" s="43"/>
      <c r="I11" s="43"/>
      <c r="J11" s="41"/>
      <c r="K11" s="42"/>
      <c r="L11" s="43"/>
      <c r="M11" s="43"/>
      <c r="N11" s="43"/>
      <c r="O11" s="43"/>
      <c r="P11" s="42"/>
      <c r="Q11" s="42"/>
      <c r="R11" s="42"/>
      <c r="S11" s="42"/>
      <c r="T11" s="42"/>
      <c r="U11" s="42"/>
      <c r="V11" s="42"/>
      <c r="W11" s="42"/>
      <c r="X11" s="42"/>
      <c r="Y11" s="42"/>
      <c r="Z11" s="42"/>
      <c r="AA11" s="42"/>
      <c r="AB11" s="43"/>
      <c r="AC11" s="43"/>
      <c r="AD11" s="43"/>
      <c r="AE11" s="43"/>
      <c r="AF11" s="43"/>
      <c r="AG11" s="43"/>
      <c r="AH11" s="43"/>
      <c r="AI11" s="43"/>
      <c r="AJ11" s="43"/>
      <c r="AK11" s="43"/>
      <c r="AL11" s="43"/>
      <c r="AM11" s="43"/>
      <c r="AN11" s="43"/>
      <c r="AO11" s="43"/>
      <c r="AP11" s="43"/>
      <c r="AQ11" s="44"/>
      <c r="AR11" s="43"/>
      <c r="AS11" s="43"/>
      <c r="AT11" s="43"/>
      <c r="AU11" s="43"/>
      <c r="AV11" s="43"/>
      <c r="AW11" s="43"/>
      <c r="AX11" s="43"/>
      <c r="AY11" s="45"/>
      <c r="AZ11" s="28"/>
      <c r="BA11" s="28"/>
      <c r="BB11" s="34"/>
      <c r="BC11" s="28"/>
      <c r="BD11" s="13"/>
      <c r="BE11" s="15"/>
      <c r="BF11" s="15"/>
      <c r="BG11" s="15"/>
      <c r="BH11" s="14"/>
      <c r="BI11" s="13"/>
      <c r="BJ11" s="15"/>
      <c r="BK11" s="15"/>
      <c r="BL11" s="15"/>
      <c r="BM11" s="15"/>
      <c r="BN11" s="16"/>
      <c r="BO11" s="17"/>
      <c r="BP11" s="66" t="str">
        <f t="shared" si="9"/>
        <v/>
      </c>
      <c r="BQ11" s="88">
        <f t="shared" si="10"/>
        <v>0</v>
      </c>
      <c r="BR11" s="88">
        <f t="shared" si="11"/>
        <v>0</v>
      </c>
      <c r="BS11" s="88">
        <f t="shared" si="12"/>
        <v>1</v>
      </c>
      <c r="BT11" s="88">
        <f t="shared" si="13"/>
        <v>1</v>
      </c>
      <c r="BU11" s="88">
        <f t="shared" si="14"/>
        <v>1</v>
      </c>
      <c r="BV11" s="88">
        <f t="shared" si="15"/>
        <v>1</v>
      </c>
      <c r="BW11" s="88">
        <f t="shared" si="16"/>
        <v>1</v>
      </c>
      <c r="BX11" s="88">
        <f t="shared" si="17"/>
        <v>1</v>
      </c>
      <c r="BY11" s="88">
        <f t="shared" si="18"/>
        <v>1</v>
      </c>
      <c r="BZ11" s="88">
        <f t="shared" si="19"/>
        <v>1</v>
      </c>
      <c r="CA11" s="88">
        <f t="shared" si="20"/>
        <v>8</v>
      </c>
      <c r="CC11" s="89" t="str">
        <f t="shared" si="21"/>
        <v/>
      </c>
      <c r="CD11" s="64" t="str">
        <f t="shared" si="22"/>
        <v/>
      </c>
      <c r="CE11" s="64" t="str">
        <f t="shared" si="23"/>
        <v/>
      </c>
      <c r="CF11" s="64" t="str">
        <f t="shared" si="24"/>
        <v/>
      </c>
      <c r="CG11" s="64" t="str">
        <f t="shared" si="25"/>
        <v/>
      </c>
      <c r="CH11" s="64" t="str">
        <f t="shared" si="26"/>
        <v/>
      </c>
      <c r="CI11" s="64" t="str">
        <f t="shared" si="27"/>
        <v/>
      </c>
    </row>
    <row r="12" spans="1:87" s="18" customFormat="1" ht="23.45" customHeight="1">
      <c r="A12" s="59">
        <v>4</v>
      </c>
      <c r="B12" s="27"/>
      <c r="C12" s="28"/>
      <c r="D12" s="28"/>
      <c r="E12" s="29"/>
      <c r="F12" s="41"/>
      <c r="G12" s="43"/>
      <c r="H12" s="43"/>
      <c r="I12" s="43"/>
      <c r="J12" s="41"/>
      <c r="K12" s="42"/>
      <c r="L12" s="43"/>
      <c r="M12" s="43"/>
      <c r="N12" s="43"/>
      <c r="O12" s="43"/>
      <c r="P12" s="42"/>
      <c r="Q12" s="42"/>
      <c r="R12" s="42"/>
      <c r="S12" s="42"/>
      <c r="T12" s="42"/>
      <c r="U12" s="42"/>
      <c r="V12" s="42"/>
      <c r="W12" s="42"/>
      <c r="X12" s="42"/>
      <c r="Y12" s="42"/>
      <c r="Z12" s="42"/>
      <c r="AA12" s="42"/>
      <c r="AB12" s="43"/>
      <c r="AC12" s="43"/>
      <c r="AD12" s="43"/>
      <c r="AE12" s="43"/>
      <c r="AF12" s="43"/>
      <c r="AG12" s="43"/>
      <c r="AH12" s="43"/>
      <c r="AI12" s="43"/>
      <c r="AJ12" s="43"/>
      <c r="AK12" s="43"/>
      <c r="AL12" s="43"/>
      <c r="AM12" s="43"/>
      <c r="AN12" s="43"/>
      <c r="AO12" s="43"/>
      <c r="AP12" s="43"/>
      <c r="AQ12" s="44"/>
      <c r="AR12" s="43"/>
      <c r="AS12" s="43"/>
      <c r="AT12" s="43"/>
      <c r="AU12" s="43"/>
      <c r="AV12" s="43"/>
      <c r="AW12" s="43"/>
      <c r="AX12" s="43"/>
      <c r="AY12" s="45"/>
      <c r="AZ12" s="28"/>
      <c r="BA12" s="28"/>
      <c r="BB12" s="34"/>
      <c r="BC12" s="28"/>
      <c r="BD12" s="13"/>
      <c r="BE12" s="15"/>
      <c r="BF12" s="15"/>
      <c r="BG12" s="15"/>
      <c r="BH12" s="14"/>
      <c r="BI12" s="13"/>
      <c r="BJ12" s="15"/>
      <c r="BK12" s="15"/>
      <c r="BL12" s="15"/>
      <c r="BM12" s="15"/>
      <c r="BN12" s="16"/>
      <c r="BO12" s="17"/>
      <c r="BP12" s="66" t="str">
        <f t="shared" si="9"/>
        <v/>
      </c>
      <c r="BQ12" s="88">
        <f t="shared" si="10"/>
        <v>0</v>
      </c>
      <c r="BR12" s="88">
        <f t="shared" si="11"/>
        <v>0</v>
      </c>
      <c r="BS12" s="88">
        <f t="shared" si="12"/>
        <v>1</v>
      </c>
      <c r="BT12" s="88">
        <f t="shared" si="13"/>
        <v>1</v>
      </c>
      <c r="BU12" s="88">
        <f t="shared" si="14"/>
        <v>1</v>
      </c>
      <c r="BV12" s="88">
        <f t="shared" si="15"/>
        <v>1</v>
      </c>
      <c r="BW12" s="88">
        <f t="shared" si="16"/>
        <v>1</v>
      </c>
      <c r="BX12" s="88">
        <f t="shared" si="17"/>
        <v>1</v>
      </c>
      <c r="BY12" s="88">
        <f t="shared" si="18"/>
        <v>1</v>
      </c>
      <c r="BZ12" s="88">
        <f t="shared" si="19"/>
        <v>1</v>
      </c>
      <c r="CA12" s="88">
        <f t="shared" si="20"/>
        <v>8</v>
      </c>
      <c r="CB12" s="5"/>
      <c r="CC12" s="89" t="str">
        <f t="shared" si="21"/>
        <v/>
      </c>
      <c r="CD12" s="64" t="str">
        <f t="shared" si="22"/>
        <v/>
      </c>
      <c r="CE12" s="64" t="str">
        <f t="shared" si="23"/>
        <v/>
      </c>
      <c r="CF12" s="64" t="str">
        <f t="shared" si="24"/>
        <v/>
      </c>
      <c r="CG12" s="64" t="str">
        <f t="shared" si="25"/>
        <v/>
      </c>
      <c r="CH12" s="64" t="str">
        <f t="shared" si="26"/>
        <v/>
      </c>
      <c r="CI12" s="64" t="str">
        <f t="shared" si="27"/>
        <v/>
      </c>
    </row>
    <row r="13" spans="1:87" s="18" customFormat="1" ht="23.45" customHeight="1">
      <c r="A13" s="59">
        <v>5</v>
      </c>
      <c r="B13" s="27"/>
      <c r="C13" s="28"/>
      <c r="D13" s="28"/>
      <c r="E13" s="29"/>
      <c r="F13" s="41"/>
      <c r="G13" s="43"/>
      <c r="H13" s="43"/>
      <c r="I13" s="43"/>
      <c r="J13" s="41"/>
      <c r="K13" s="42"/>
      <c r="L13" s="43"/>
      <c r="M13" s="43"/>
      <c r="N13" s="43"/>
      <c r="O13" s="43"/>
      <c r="P13" s="42"/>
      <c r="Q13" s="42"/>
      <c r="R13" s="42"/>
      <c r="S13" s="42"/>
      <c r="T13" s="42"/>
      <c r="U13" s="42"/>
      <c r="V13" s="42"/>
      <c r="W13" s="42"/>
      <c r="X13" s="42"/>
      <c r="Y13" s="42"/>
      <c r="Z13" s="42"/>
      <c r="AA13" s="42"/>
      <c r="AB13" s="43"/>
      <c r="AC13" s="43"/>
      <c r="AD13" s="43"/>
      <c r="AE13" s="43"/>
      <c r="AF13" s="43"/>
      <c r="AG13" s="43"/>
      <c r="AH13" s="43"/>
      <c r="AI13" s="43"/>
      <c r="AJ13" s="43"/>
      <c r="AK13" s="43"/>
      <c r="AL13" s="43"/>
      <c r="AM13" s="43"/>
      <c r="AN13" s="43"/>
      <c r="AO13" s="43"/>
      <c r="AP13" s="43"/>
      <c r="AQ13" s="44"/>
      <c r="AR13" s="43"/>
      <c r="AS13" s="43"/>
      <c r="AT13" s="43"/>
      <c r="AU13" s="43"/>
      <c r="AV13" s="43"/>
      <c r="AW13" s="43"/>
      <c r="AX13" s="43"/>
      <c r="AY13" s="45"/>
      <c r="AZ13" s="28"/>
      <c r="BA13" s="28"/>
      <c r="BB13" s="34"/>
      <c r="BC13" s="28"/>
      <c r="BD13" s="13"/>
      <c r="BE13" s="15"/>
      <c r="BF13" s="15"/>
      <c r="BG13" s="15"/>
      <c r="BH13" s="14"/>
      <c r="BI13" s="13"/>
      <c r="BJ13" s="15"/>
      <c r="BK13" s="15"/>
      <c r="BL13" s="15"/>
      <c r="BM13" s="15"/>
      <c r="BN13" s="16"/>
      <c r="BO13" s="17"/>
      <c r="BP13" s="66" t="str">
        <f t="shared" si="9"/>
        <v/>
      </c>
      <c r="BQ13" s="88">
        <f t="shared" si="10"/>
        <v>0</v>
      </c>
      <c r="BR13" s="88">
        <f t="shared" si="11"/>
        <v>0</v>
      </c>
      <c r="BS13" s="88">
        <f t="shared" si="12"/>
        <v>1</v>
      </c>
      <c r="BT13" s="88">
        <f t="shared" si="13"/>
        <v>1</v>
      </c>
      <c r="BU13" s="88">
        <f t="shared" si="14"/>
        <v>1</v>
      </c>
      <c r="BV13" s="88">
        <f t="shared" si="15"/>
        <v>1</v>
      </c>
      <c r="BW13" s="88">
        <f t="shared" si="16"/>
        <v>1</v>
      </c>
      <c r="BX13" s="88">
        <f t="shared" si="17"/>
        <v>1</v>
      </c>
      <c r="BY13" s="88">
        <f t="shared" si="18"/>
        <v>1</v>
      </c>
      <c r="BZ13" s="88">
        <f t="shared" si="19"/>
        <v>1</v>
      </c>
      <c r="CA13" s="88">
        <f t="shared" si="20"/>
        <v>8</v>
      </c>
      <c r="CB13" s="5"/>
      <c r="CC13" s="89" t="str">
        <f t="shared" si="21"/>
        <v/>
      </c>
      <c r="CD13" s="64" t="str">
        <f t="shared" si="22"/>
        <v/>
      </c>
      <c r="CE13" s="64" t="str">
        <f t="shared" si="23"/>
        <v/>
      </c>
      <c r="CF13" s="64" t="str">
        <f t="shared" si="24"/>
        <v/>
      </c>
      <c r="CG13" s="64" t="str">
        <f t="shared" si="25"/>
        <v/>
      </c>
      <c r="CH13" s="64" t="str">
        <f t="shared" si="26"/>
        <v/>
      </c>
      <c r="CI13" s="64" t="str">
        <f t="shared" si="27"/>
        <v/>
      </c>
    </row>
    <row r="14" spans="1:87" s="18" customFormat="1" ht="23.45" customHeight="1">
      <c r="A14" s="59">
        <v>6</v>
      </c>
      <c r="B14" s="27"/>
      <c r="C14" s="28"/>
      <c r="D14" s="28"/>
      <c r="E14" s="29"/>
      <c r="F14" s="41"/>
      <c r="G14" s="43"/>
      <c r="H14" s="43"/>
      <c r="I14" s="43"/>
      <c r="J14" s="41"/>
      <c r="K14" s="42"/>
      <c r="L14" s="43"/>
      <c r="M14" s="43"/>
      <c r="N14" s="43"/>
      <c r="O14" s="43"/>
      <c r="P14" s="42"/>
      <c r="Q14" s="42"/>
      <c r="R14" s="42"/>
      <c r="S14" s="42"/>
      <c r="T14" s="42"/>
      <c r="U14" s="42"/>
      <c r="V14" s="42"/>
      <c r="W14" s="42"/>
      <c r="X14" s="42"/>
      <c r="Y14" s="42"/>
      <c r="Z14" s="42"/>
      <c r="AA14" s="42"/>
      <c r="AB14" s="43"/>
      <c r="AC14" s="43"/>
      <c r="AD14" s="43"/>
      <c r="AE14" s="43"/>
      <c r="AF14" s="43"/>
      <c r="AG14" s="43"/>
      <c r="AH14" s="43"/>
      <c r="AI14" s="43"/>
      <c r="AJ14" s="43"/>
      <c r="AK14" s="43"/>
      <c r="AL14" s="43"/>
      <c r="AM14" s="43"/>
      <c r="AN14" s="43"/>
      <c r="AO14" s="43"/>
      <c r="AP14" s="43"/>
      <c r="AQ14" s="44"/>
      <c r="AR14" s="43"/>
      <c r="AS14" s="43"/>
      <c r="AT14" s="43"/>
      <c r="AU14" s="43"/>
      <c r="AV14" s="43"/>
      <c r="AW14" s="43"/>
      <c r="AX14" s="43"/>
      <c r="AY14" s="45"/>
      <c r="AZ14" s="28"/>
      <c r="BA14" s="28"/>
      <c r="BB14" s="34"/>
      <c r="BC14" s="28"/>
      <c r="BD14" s="13"/>
      <c r="BE14" s="15"/>
      <c r="BF14" s="15"/>
      <c r="BG14" s="15"/>
      <c r="BH14" s="14"/>
      <c r="BI14" s="13"/>
      <c r="BJ14" s="15"/>
      <c r="BK14" s="15"/>
      <c r="BL14" s="15"/>
      <c r="BM14" s="15"/>
      <c r="BN14" s="16"/>
      <c r="BO14" s="17"/>
      <c r="BP14" s="66" t="str">
        <f t="shared" si="9"/>
        <v/>
      </c>
      <c r="BQ14" s="88">
        <f t="shared" si="10"/>
        <v>0</v>
      </c>
      <c r="BR14" s="88">
        <f t="shared" si="11"/>
        <v>0</v>
      </c>
      <c r="BS14" s="88">
        <f t="shared" si="12"/>
        <v>1</v>
      </c>
      <c r="BT14" s="88">
        <f t="shared" si="13"/>
        <v>1</v>
      </c>
      <c r="BU14" s="88">
        <f t="shared" si="14"/>
        <v>1</v>
      </c>
      <c r="BV14" s="88">
        <f t="shared" si="15"/>
        <v>1</v>
      </c>
      <c r="BW14" s="88">
        <f t="shared" si="16"/>
        <v>1</v>
      </c>
      <c r="BX14" s="88">
        <f t="shared" si="17"/>
        <v>1</v>
      </c>
      <c r="BY14" s="88">
        <f t="shared" si="18"/>
        <v>1</v>
      </c>
      <c r="BZ14" s="88">
        <f t="shared" si="19"/>
        <v>1</v>
      </c>
      <c r="CA14" s="88">
        <f t="shared" si="20"/>
        <v>8</v>
      </c>
      <c r="CB14" s="5"/>
      <c r="CC14" s="89" t="str">
        <f t="shared" si="21"/>
        <v/>
      </c>
      <c r="CD14" s="64" t="str">
        <f t="shared" si="22"/>
        <v/>
      </c>
      <c r="CE14" s="64" t="str">
        <f t="shared" si="23"/>
        <v/>
      </c>
      <c r="CF14" s="64" t="str">
        <f t="shared" si="24"/>
        <v/>
      </c>
      <c r="CG14" s="64" t="str">
        <f t="shared" si="25"/>
        <v/>
      </c>
      <c r="CH14" s="64" t="str">
        <f t="shared" si="26"/>
        <v/>
      </c>
      <c r="CI14" s="64" t="str">
        <f t="shared" si="27"/>
        <v/>
      </c>
    </row>
    <row r="15" spans="1:87" s="18" customFormat="1" ht="23.45" customHeight="1">
      <c r="A15" s="59">
        <v>7</v>
      </c>
      <c r="B15" s="27"/>
      <c r="C15" s="28"/>
      <c r="D15" s="28"/>
      <c r="E15" s="29"/>
      <c r="F15" s="41"/>
      <c r="G15" s="43"/>
      <c r="H15" s="43"/>
      <c r="I15" s="43"/>
      <c r="J15" s="41"/>
      <c r="K15" s="42"/>
      <c r="L15" s="43"/>
      <c r="M15" s="43"/>
      <c r="N15" s="43"/>
      <c r="O15" s="43"/>
      <c r="P15" s="42"/>
      <c r="Q15" s="42"/>
      <c r="R15" s="42"/>
      <c r="S15" s="42"/>
      <c r="T15" s="42"/>
      <c r="U15" s="42"/>
      <c r="V15" s="42"/>
      <c r="W15" s="42"/>
      <c r="X15" s="42"/>
      <c r="Y15" s="42"/>
      <c r="Z15" s="42"/>
      <c r="AA15" s="42"/>
      <c r="AB15" s="43"/>
      <c r="AC15" s="43"/>
      <c r="AD15" s="43"/>
      <c r="AE15" s="43"/>
      <c r="AF15" s="43"/>
      <c r="AG15" s="43"/>
      <c r="AH15" s="43"/>
      <c r="AI15" s="43"/>
      <c r="AJ15" s="43"/>
      <c r="AK15" s="43"/>
      <c r="AL15" s="43"/>
      <c r="AM15" s="43"/>
      <c r="AN15" s="43"/>
      <c r="AO15" s="43"/>
      <c r="AP15" s="43"/>
      <c r="AQ15" s="44"/>
      <c r="AR15" s="43"/>
      <c r="AS15" s="43"/>
      <c r="AT15" s="43"/>
      <c r="AU15" s="43"/>
      <c r="AV15" s="43"/>
      <c r="AW15" s="43"/>
      <c r="AX15" s="43"/>
      <c r="AY15" s="45"/>
      <c r="AZ15" s="28"/>
      <c r="BA15" s="28"/>
      <c r="BB15" s="34"/>
      <c r="BC15" s="28"/>
      <c r="BD15" s="13"/>
      <c r="BE15" s="15"/>
      <c r="BF15" s="15"/>
      <c r="BG15" s="15"/>
      <c r="BH15" s="14"/>
      <c r="BI15" s="13"/>
      <c r="BJ15" s="15"/>
      <c r="BK15" s="15"/>
      <c r="BL15" s="15"/>
      <c r="BM15" s="15"/>
      <c r="BN15" s="16"/>
      <c r="BO15" s="17"/>
      <c r="BP15" s="66" t="str">
        <f t="shared" si="9"/>
        <v/>
      </c>
      <c r="BQ15" s="88">
        <f t="shared" si="10"/>
        <v>0</v>
      </c>
      <c r="BR15" s="88">
        <f t="shared" si="11"/>
        <v>0</v>
      </c>
      <c r="BS15" s="88">
        <f t="shared" si="12"/>
        <v>1</v>
      </c>
      <c r="BT15" s="88">
        <f t="shared" si="13"/>
        <v>1</v>
      </c>
      <c r="BU15" s="88">
        <f t="shared" si="14"/>
        <v>1</v>
      </c>
      <c r="BV15" s="88">
        <f t="shared" si="15"/>
        <v>1</v>
      </c>
      <c r="BW15" s="88">
        <f t="shared" si="16"/>
        <v>1</v>
      </c>
      <c r="BX15" s="88">
        <f t="shared" si="17"/>
        <v>1</v>
      </c>
      <c r="BY15" s="88">
        <f t="shared" si="18"/>
        <v>1</v>
      </c>
      <c r="BZ15" s="88">
        <f t="shared" si="19"/>
        <v>1</v>
      </c>
      <c r="CA15" s="88">
        <f t="shared" si="20"/>
        <v>8</v>
      </c>
      <c r="CB15" s="5"/>
      <c r="CC15" s="89" t="str">
        <f t="shared" si="21"/>
        <v/>
      </c>
      <c r="CD15" s="64" t="str">
        <f t="shared" si="22"/>
        <v/>
      </c>
      <c r="CE15" s="64" t="str">
        <f t="shared" si="23"/>
        <v/>
      </c>
      <c r="CF15" s="64" t="str">
        <f t="shared" si="24"/>
        <v/>
      </c>
      <c r="CG15" s="64" t="str">
        <f t="shared" si="25"/>
        <v/>
      </c>
      <c r="CH15" s="64" t="str">
        <f t="shared" si="26"/>
        <v/>
      </c>
      <c r="CI15" s="64" t="str">
        <f t="shared" si="27"/>
        <v/>
      </c>
    </row>
    <row r="16" spans="1:87" s="18" customFormat="1" ht="23.45" customHeight="1">
      <c r="A16" s="59">
        <v>8</v>
      </c>
      <c r="B16" s="27"/>
      <c r="C16" s="28"/>
      <c r="D16" s="28"/>
      <c r="E16" s="29"/>
      <c r="F16" s="41"/>
      <c r="G16" s="43"/>
      <c r="H16" s="43"/>
      <c r="I16" s="43"/>
      <c r="J16" s="41"/>
      <c r="K16" s="42"/>
      <c r="L16" s="43"/>
      <c r="M16" s="43"/>
      <c r="N16" s="43"/>
      <c r="O16" s="43"/>
      <c r="P16" s="42"/>
      <c r="Q16" s="42"/>
      <c r="R16" s="42"/>
      <c r="S16" s="42"/>
      <c r="T16" s="42"/>
      <c r="U16" s="42"/>
      <c r="V16" s="42"/>
      <c r="W16" s="42"/>
      <c r="X16" s="42"/>
      <c r="Y16" s="42"/>
      <c r="Z16" s="42"/>
      <c r="AA16" s="42"/>
      <c r="AB16" s="43"/>
      <c r="AC16" s="43"/>
      <c r="AD16" s="43"/>
      <c r="AE16" s="43"/>
      <c r="AF16" s="43"/>
      <c r="AG16" s="43"/>
      <c r="AH16" s="43"/>
      <c r="AI16" s="43"/>
      <c r="AJ16" s="43"/>
      <c r="AK16" s="43"/>
      <c r="AL16" s="43"/>
      <c r="AM16" s="43"/>
      <c r="AN16" s="43"/>
      <c r="AO16" s="43"/>
      <c r="AP16" s="43"/>
      <c r="AQ16" s="44"/>
      <c r="AR16" s="43"/>
      <c r="AS16" s="43"/>
      <c r="AT16" s="43"/>
      <c r="AU16" s="43"/>
      <c r="AV16" s="43"/>
      <c r="AW16" s="43"/>
      <c r="AX16" s="43"/>
      <c r="AY16" s="45"/>
      <c r="AZ16" s="28"/>
      <c r="BA16" s="28"/>
      <c r="BB16" s="34"/>
      <c r="BC16" s="28"/>
      <c r="BD16" s="13"/>
      <c r="BE16" s="15"/>
      <c r="BF16" s="15"/>
      <c r="BG16" s="15"/>
      <c r="BH16" s="14"/>
      <c r="BI16" s="13"/>
      <c r="BJ16" s="15"/>
      <c r="BK16" s="15"/>
      <c r="BL16" s="15"/>
      <c r="BM16" s="15"/>
      <c r="BN16" s="16"/>
      <c r="BO16" s="17"/>
      <c r="BP16" s="66" t="str">
        <f t="shared" si="9"/>
        <v/>
      </c>
      <c r="BQ16" s="88">
        <f t="shared" si="10"/>
        <v>0</v>
      </c>
      <c r="BR16" s="88">
        <f t="shared" si="11"/>
        <v>0</v>
      </c>
      <c r="BS16" s="88">
        <f t="shared" si="12"/>
        <v>1</v>
      </c>
      <c r="BT16" s="88">
        <f t="shared" si="13"/>
        <v>1</v>
      </c>
      <c r="BU16" s="88">
        <f t="shared" si="14"/>
        <v>1</v>
      </c>
      <c r="BV16" s="88">
        <f t="shared" si="15"/>
        <v>1</v>
      </c>
      <c r="BW16" s="88">
        <f t="shared" si="16"/>
        <v>1</v>
      </c>
      <c r="BX16" s="88">
        <f t="shared" si="17"/>
        <v>1</v>
      </c>
      <c r="BY16" s="88">
        <f t="shared" si="18"/>
        <v>1</v>
      </c>
      <c r="BZ16" s="88">
        <f t="shared" si="19"/>
        <v>1</v>
      </c>
      <c r="CA16" s="88">
        <f t="shared" si="20"/>
        <v>8</v>
      </c>
      <c r="CB16" s="5"/>
      <c r="CC16" s="89" t="str">
        <f t="shared" si="21"/>
        <v/>
      </c>
      <c r="CD16" s="64" t="str">
        <f t="shared" si="22"/>
        <v/>
      </c>
      <c r="CE16" s="64" t="str">
        <f t="shared" si="23"/>
        <v/>
      </c>
      <c r="CF16" s="64" t="str">
        <f t="shared" si="24"/>
        <v/>
      </c>
      <c r="CG16" s="64" t="str">
        <f t="shared" si="25"/>
        <v/>
      </c>
      <c r="CH16" s="64" t="str">
        <f t="shared" si="26"/>
        <v/>
      </c>
      <c r="CI16" s="64" t="str">
        <f t="shared" si="27"/>
        <v/>
      </c>
    </row>
    <row r="17" spans="1:87" s="18" customFormat="1" ht="23.45" customHeight="1">
      <c r="A17" s="59">
        <v>9</v>
      </c>
      <c r="B17" s="27"/>
      <c r="C17" s="28"/>
      <c r="D17" s="28"/>
      <c r="E17" s="29"/>
      <c r="F17" s="41"/>
      <c r="G17" s="43"/>
      <c r="H17" s="43"/>
      <c r="I17" s="43"/>
      <c r="J17" s="41"/>
      <c r="K17" s="42"/>
      <c r="L17" s="43"/>
      <c r="M17" s="43"/>
      <c r="N17" s="43"/>
      <c r="O17" s="43"/>
      <c r="P17" s="42"/>
      <c r="Q17" s="42"/>
      <c r="R17" s="42"/>
      <c r="S17" s="42"/>
      <c r="T17" s="42"/>
      <c r="U17" s="42"/>
      <c r="V17" s="42"/>
      <c r="W17" s="42"/>
      <c r="X17" s="42"/>
      <c r="Y17" s="42"/>
      <c r="Z17" s="42"/>
      <c r="AA17" s="42"/>
      <c r="AB17" s="43"/>
      <c r="AC17" s="43"/>
      <c r="AD17" s="43"/>
      <c r="AE17" s="43"/>
      <c r="AF17" s="43"/>
      <c r="AG17" s="43"/>
      <c r="AH17" s="43"/>
      <c r="AI17" s="43"/>
      <c r="AJ17" s="43"/>
      <c r="AK17" s="43"/>
      <c r="AL17" s="43"/>
      <c r="AM17" s="43"/>
      <c r="AN17" s="43"/>
      <c r="AO17" s="43"/>
      <c r="AP17" s="43"/>
      <c r="AQ17" s="44"/>
      <c r="AR17" s="43"/>
      <c r="AS17" s="43"/>
      <c r="AT17" s="43"/>
      <c r="AU17" s="43"/>
      <c r="AV17" s="43"/>
      <c r="AW17" s="43"/>
      <c r="AX17" s="43"/>
      <c r="AY17" s="45"/>
      <c r="AZ17" s="28"/>
      <c r="BA17" s="28"/>
      <c r="BB17" s="34"/>
      <c r="BC17" s="28"/>
      <c r="BD17" s="13"/>
      <c r="BE17" s="15"/>
      <c r="BF17" s="15"/>
      <c r="BG17" s="15"/>
      <c r="BH17" s="14"/>
      <c r="BI17" s="13"/>
      <c r="BJ17" s="15"/>
      <c r="BK17" s="15"/>
      <c r="BL17" s="15"/>
      <c r="BM17" s="15"/>
      <c r="BN17" s="16"/>
      <c r="BO17" s="17"/>
      <c r="BP17" s="66" t="str">
        <f t="shared" si="9"/>
        <v/>
      </c>
      <c r="BQ17" s="88">
        <f t="shared" si="10"/>
        <v>0</v>
      </c>
      <c r="BR17" s="88">
        <f t="shared" si="11"/>
        <v>0</v>
      </c>
      <c r="BS17" s="88">
        <f t="shared" si="12"/>
        <v>1</v>
      </c>
      <c r="BT17" s="88">
        <f t="shared" si="13"/>
        <v>1</v>
      </c>
      <c r="BU17" s="88">
        <f t="shared" si="14"/>
        <v>1</v>
      </c>
      <c r="BV17" s="88">
        <f t="shared" si="15"/>
        <v>1</v>
      </c>
      <c r="BW17" s="88">
        <f t="shared" si="16"/>
        <v>1</v>
      </c>
      <c r="BX17" s="88">
        <f t="shared" si="17"/>
        <v>1</v>
      </c>
      <c r="BY17" s="88">
        <f t="shared" si="18"/>
        <v>1</v>
      </c>
      <c r="BZ17" s="88">
        <f t="shared" si="19"/>
        <v>1</v>
      </c>
      <c r="CA17" s="88">
        <f t="shared" si="20"/>
        <v>8</v>
      </c>
      <c r="CB17" s="5"/>
      <c r="CC17" s="89" t="str">
        <f t="shared" si="21"/>
        <v/>
      </c>
      <c r="CD17" s="64" t="str">
        <f t="shared" si="22"/>
        <v/>
      </c>
      <c r="CE17" s="64" t="str">
        <f t="shared" si="23"/>
        <v/>
      </c>
      <c r="CF17" s="64" t="str">
        <f t="shared" si="24"/>
        <v/>
      </c>
      <c r="CG17" s="64" t="str">
        <f t="shared" si="25"/>
        <v/>
      </c>
      <c r="CH17" s="64" t="str">
        <f t="shared" si="26"/>
        <v/>
      </c>
      <c r="CI17" s="64" t="str">
        <f t="shared" si="27"/>
        <v/>
      </c>
    </row>
    <row r="18" spans="1:87" s="18" customFormat="1" ht="23.45" customHeight="1">
      <c r="A18" s="60">
        <v>10</v>
      </c>
      <c r="B18" s="27"/>
      <c r="C18" s="28"/>
      <c r="D18" s="28"/>
      <c r="E18" s="29"/>
      <c r="F18" s="41"/>
      <c r="G18" s="43"/>
      <c r="H18" s="43"/>
      <c r="I18" s="43"/>
      <c r="J18" s="41"/>
      <c r="K18" s="42"/>
      <c r="L18" s="43"/>
      <c r="M18" s="43"/>
      <c r="N18" s="43"/>
      <c r="O18" s="43"/>
      <c r="P18" s="42"/>
      <c r="Q18" s="42"/>
      <c r="R18" s="42"/>
      <c r="S18" s="42"/>
      <c r="T18" s="42"/>
      <c r="U18" s="42"/>
      <c r="V18" s="42"/>
      <c r="W18" s="42"/>
      <c r="X18" s="42"/>
      <c r="Y18" s="42"/>
      <c r="Z18" s="42"/>
      <c r="AA18" s="42"/>
      <c r="AB18" s="43"/>
      <c r="AC18" s="43"/>
      <c r="AD18" s="43"/>
      <c r="AE18" s="43"/>
      <c r="AF18" s="43"/>
      <c r="AG18" s="43"/>
      <c r="AH18" s="43"/>
      <c r="AI18" s="43"/>
      <c r="AJ18" s="43"/>
      <c r="AK18" s="43"/>
      <c r="AL18" s="43"/>
      <c r="AM18" s="43"/>
      <c r="AN18" s="43"/>
      <c r="AO18" s="43"/>
      <c r="AP18" s="43"/>
      <c r="AQ18" s="44"/>
      <c r="AR18" s="43"/>
      <c r="AS18" s="43"/>
      <c r="AT18" s="43"/>
      <c r="AU18" s="43"/>
      <c r="AV18" s="43"/>
      <c r="AW18" s="43"/>
      <c r="AX18" s="43"/>
      <c r="AY18" s="45"/>
      <c r="AZ18" s="28"/>
      <c r="BA18" s="28"/>
      <c r="BB18" s="34"/>
      <c r="BC18" s="28"/>
      <c r="BD18" s="13"/>
      <c r="BE18" s="15"/>
      <c r="BF18" s="15"/>
      <c r="BG18" s="15"/>
      <c r="BH18" s="14"/>
      <c r="BI18" s="13"/>
      <c r="BJ18" s="15"/>
      <c r="BK18" s="15"/>
      <c r="BL18" s="15"/>
      <c r="BM18" s="15"/>
      <c r="BN18" s="16"/>
      <c r="BO18" s="17"/>
      <c r="BP18" s="66" t="str">
        <f t="shared" si="9"/>
        <v/>
      </c>
      <c r="BQ18" s="88">
        <f t="shared" si="10"/>
        <v>0</v>
      </c>
      <c r="BR18" s="88">
        <f t="shared" si="11"/>
        <v>0</v>
      </c>
      <c r="BS18" s="88">
        <f t="shared" si="12"/>
        <v>1</v>
      </c>
      <c r="BT18" s="88">
        <f t="shared" si="13"/>
        <v>1</v>
      </c>
      <c r="BU18" s="88">
        <f t="shared" si="14"/>
        <v>1</v>
      </c>
      <c r="BV18" s="88">
        <f t="shared" si="15"/>
        <v>1</v>
      </c>
      <c r="BW18" s="88">
        <f t="shared" si="16"/>
        <v>1</v>
      </c>
      <c r="BX18" s="88">
        <f t="shared" si="17"/>
        <v>1</v>
      </c>
      <c r="BY18" s="88">
        <f t="shared" si="18"/>
        <v>1</v>
      </c>
      <c r="BZ18" s="88">
        <f t="shared" si="19"/>
        <v>1</v>
      </c>
      <c r="CA18" s="88">
        <f t="shared" si="20"/>
        <v>8</v>
      </c>
      <c r="CB18" s="5"/>
      <c r="CC18" s="89" t="str">
        <f t="shared" si="21"/>
        <v/>
      </c>
      <c r="CD18" s="64" t="str">
        <f t="shared" si="22"/>
        <v/>
      </c>
      <c r="CE18" s="64" t="str">
        <f t="shared" si="23"/>
        <v/>
      </c>
      <c r="CF18" s="64" t="str">
        <f t="shared" si="24"/>
        <v/>
      </c>
      <c r="CG18" s="64" t="str">
        <f t="shared" si="25"/>
        <v/>
      </c>
      <c r="CH18" s="64" t="str">
        <f t="shared" si="26"/>
        <v/>
      </c>
      <c r="CI18" s="64" t="str">
        <f t="shared" si="27"/>
        <v/>
      </c>
    </row>
    <row r="19" spans="1:87" s="18" customFormat="1" ht="23.45" customHeight="1">
      <c r="A19" s="60">
        <v>11</v>
      </c>
      <c r="B19" s="27"/>
      <c r="C19" s="28"/>
      <c r="D19" s="28"/>
      <c r="E19" s="29"/>
      <c r="F19" s="41"/>
      <c r="G19" s="43"/>
      <c r="H19" s="43"/>
      <c r="I19" s="43"/>
      <c r="J19" s="41"/>
      <c r="K19" s="42"/>
      <c r="L19" s="43"/>
      <c r="M19" s="43"/>
      <c r="N19" s="43"/>
      <c r="O19" s="43"/>
      <c r="P19" s="42"/>
      <c r="Q19" s="42"/>
      <c r="R19" s="42"/>
      <c r="S19" s="42"/>
      <c r="T19" s="42"/>
      <c r="U19" s="42"/>
      <c r="V19" s="42"/>
      <c r="W19" s="42"/>
      <c r="X19" s="42"/>
      <c r="Y19" s="42"/>
      <c r="Z19" s="42"/>
      <c r="AA19" s="42"/>
      <c r="AB19" s="43"/>
      <c r="AC19" s="43"/>
      <c r="AD19" s="43"/>
      <c r="AE19" s="43"/>
      <c r="AF19" s="43"/>
      <c r="AG19" s="43"/>
      <c r="AH19" s="43"/>
      <c r="AI19" s="43"/>
      <c r="AJ19" s="43"/>
      <c r="AK19" s="43"/>
      <c r="AL19" s="43"/>
      <c r="AM19" s="43"/>
      <c r="AN19" s="43"/>
      <c r="AO19" s="43"/>
      <c r="AP19" s="43"/>
      <c r="AQ19" s="44"/>
      <c r="AR19" s="43"/>
      <c r="AS19" s="43"/>
      <c r="AT19" s="43"/>
      <c r="AU19" s="43"/>
      <c r="AV19" s="43"/>
      <c r="AW19" s="43"/>
      <c r="AX19" s="43"/>
      <c r="AY19" s="45"/>
      <c r="AZ19" s="28"/>
      <c r="BA19" s="28"/>
      <c r="BB19" s="34"/>
      <c r="BC19" s="28"/>
      <c r="BD19" s="13"/>
      <c r="BE19" s="15"/>
      <c r="BF19" s="15"/>
      <c r="BG19" s="15"/>
      <c r="BH19" s="14"/>
      <c r="BI19" s="13"/>
      <c r="BJ19" s="15"/>
      <c r="BK19" s="15"/>
      <c r="BL19" s="15"/>
      <c r="BM19" s="15"/>
      <c r="BN19" s="16"/>
      <c r="BO19" s="17"/>
      <c r="BP19" s="66" t="str">
        <f t="shared" si="9"/>
        <v/>
      </c>
      <c r="BQ19" s="88">
        <f t="shared" si="10"/>
        <v>0</v>
      </c>
      <c r="BR19" s="88">
        <f t="shared" si="11"/>
        <v>0</v>
      </c>
      <c r="BS19" s="88">
        <f t="shared" si="12"/>
        <v>1</v>
      </c>
      <c r="BT19" s="88">
        <f t="shared" si="13"/>
        <v>1</v>
      </c>
      <c r="BU19" s="88">
        <f t="shared" si="14"/>
        <v>1</v>
      </c>
      <c r="BV19" s="88">
        <f t="shared" si="15"/>
        <v>1</v>
      </c>
      <c r="BW19" s="88">
        <f t="shared" si="16"/>
        <v>1</v>
      </c>
      <c r="BX19" s="88">
        <f t="shared" si="17"/>
        <v>1</v>
      </c>
      <c r="BY19" s="88">
        <f t="shared" si="18"/>
        <v>1</v>
      </c>
      <c r="BZ19" s="88">
        <f t="shared" si="19"/>
        <v>1</v>
      </c>
      <c r="CA19" s="88">
        <f t="shared" si="20"/>
        <v>8</v>
      </c>
      <c r="CB19" s="5"/>
      <c r="CC19" s="89" t="str">
        <f t="shared" si="21"/>
        <v/>
      </c>
      <c r="CD19" s="64" t="str">
        <f t="shared" si="22"/>
        <v/>
      </c>
      <c r="CE19" s="64" t="str">
        <f t="shared" si="23"/>
        <v/>
      </c>
      <c r="CF19" s="64" t="str">
        <f t="shared" si="24"/>
        <v/>
      </c>
      <c r="CG19" s="64" t="str">
        <f t="shared" si="25"/>
        <v/>
      </c>
      <c r="CH19" s="64" t="str">
        <f t="shared" si="26"/>
        <v/>
      </c>
      <c r="CI19" s="64" t="str">
        <f t="shared" si="27"/>
        <v/>
      </c>
    </row>
    <row r="20" spans="1:87" s="18" customFormat="1" ht="23.45" customHeight="1">
      <c r="A20" s="59">
        <v>12</v>
      </c>
      <c r="B20" s="27"/>
      <c r="C20" s="28"/>
      <c r="D20" s="28"/>
      <c r="E20" s="29"/>
      <c r="F20" s="41"/>
      <c r="G20" s="43"/>
      <c r="H20" s="43"/>
      <c r="I20" s="43"/>
      <c r="J20" s="41"/>
      <c r="K20" s="42"/>
      <c r="L20" s="43"/>
      <c r="M20" s="43"/>
      <c r="N20" s="43"/>
      <c r="O20" s="43"/>
      <c r="P20" s="42"/>
      <c r="Q20" s="42"/>
      <c r="R20" s="42"/>
      <c r="S20" s="42"/>
      <c r="T20" s="42"/>
      <c r="U20" s="42"/>
      <c r="V20" s="42"/>
      <c r="W20" s="42"/>
      <c r="X20" s="42"/>
      <c r="Y20" s="42"/>
      <c r="Z20" s="42"/>
      <c r="AA20" s="42"/>
      <c r="AB20" s="43"/>
      <c r="AC20" s="43"/>
      <c r="AD20" s="43"/>
      <c r="AE20" s="43"/>
      <c r="AF20" s="43"/>
      <c r="AG20" s="43"/>
      <c r="AH20" s="43"/>
      <c r="AI20" s="43"/>
      <c r="AJ20" s="43"/>
      <c r="AK20" s="43"/>
      <c r="AL20" s="43"/>
      <c r="AM20" s="43"/>
      <c r="AN20" s="43"/>
      <c r="AO20" s="43"/>
      <c r="AP20" s="43"/>
      <c r="AQ20" s="44"/>
      <c r="AR20" s="43"/>
      <c r="AS20" s="43"/>
      <c r="AT20" s="43"/>
      <c r="AU20" s="43"/>
      <c r="AV20" s="43"/>
      <c r="AW20" s="43"/>
      <c r="AX20" s="43"/>
      <c r="AY20" s="45"/>
      <c r="AZ20" s="28"/>
      <c r="BA20" s="28"/>
      <c r="BB20" s="34"/>
      <c r="BC20" s="28"/>
      <c r="BD20" s="13"/>
      <c r="BE20" s="15"/>
      <c r="BF20" s="15"/>
      <c r="BG20" s="15"/>
      <c r="BH20" s="14"/>
      <c r="BI20" s="13"/>
      <c r="BJ20" s="15"/>
      <c r="BK20" s="15"/>
      <c r="BL20" s="15"/>
      <c r="BM20" s="15"/>
      <c r="BN20" s="16"/>
      <c r="BO20" s="17"/>
      <c r="BP20" s="66" t="str">
        <f t="shared" si="9"/>
        <v/>
      </c>
      <c r="BQ20" s="88">
        <f t="shared" si="10"/>
        <v>0</v>
      </c>
      <c r="BR20" s="88">
        <f t="shared" si="11"/>
        <v>0</v>
      </c>
      <c r="BS20" s="88">
        <f t="shared" si="12"/>
        <v>1</v>
      </c>
      <c r="BT20" s="88">
        <f t="shared" si="13"/>
        <v>1</v>
      </c>
      <c r="BU20" s="88">
        <f t="shared" si="14"/>
        <v>1</v>
      </c>
      <c r="BV20" s="88">
        <f t="shared" si="15"/>
        <v>1</v>
      </c>
      <c r="BW20" s="88">
        <f t="shared" si="16"/>
        <v>1</v>
      </c>
      <c r="BX20" s="88">
        <f t="shared" si="17"/>
        <v>1</v>
      </c>
      <c r="BY20" s="88">
        <f t="shared" si="18"/>
        <v>1</v>
      </c>
      <c r="BZ20" s="88">
        <f t="shared" si="19"/>
        <v>1</v>
      </c>
      <c r="CA20" s="88">
        <f t="shared" si="20"/>
        <v>8</v>
      </c>
      <c r="CB20" s="5"/>
      <c r="CC20" s="89" t="str">
        <f t="shared" si="21"/>
        <v/>
      </c>
      <c r="CD20" s="64" t="str">
        <f t="shared" si="22"/>
        <v/>
      </c>
      <c r="CE20" s="64" t="str">
        <f t="shared" si="23"/>
        <v/>
      </c>
      <c r="CF20" s="64" t="str">
        <f t="shared" si="24"/>
        <v/>
      </c>
      <c r="CG20" s="64" t="str">
        <f t="shared" si="25"/>
        <v/>
      </c>
      <c r="CH20" s="64" t="str">
        <f t="shared" si="26"/>
        <v/>
      </c>
      <c r="CI20" s="64" t="str">
        <f t="shared" si="27"/>
        <v/>
      </c>
    </row>
    <row r="21" spans="1:87" s="18" customFormat="1" ht="23.45" customHeight="1">
      <c r="A21" s="59">
        <v>13</v>
      </c>
      <c r="B21" s="27"/>
      <c r="C21" s="28"/>
      <c r="D21" s="28"/>
      <c r="E21" s="29"/>
      <c r="F21" s="41"/>
      <c r="G21" s="43"/>
      <c r="H21" s="43"/>
      <c r="I21" s="43"/>
      <c r="J21" s="41"/>
      <c r="K21" s="42"/>
      <c r="L21" s="43"/>
      <c r="M21" s="43"/>
      <c r="N21" s="43"/>
      <c r="O21" s="43"/>
      <c r="P21" s="42"/>
      <c r="Q21" s="42"/>
      <c r="R21" s="42"/>
      <c r="S21" s="42"/>
      <c r="T21" s="42"/>
      <c r="U21" s="42"/>
      <c r="V21" s="42"/>
      <c r="W21" s="42"/>
      <c r="X21" s="42"/>
      <c r="Y21" s="42"/>
      <c r="Z21" s="42"/>
      <c r="AA21" s="42"/>
      <c r="AB21" s="43"/>
      <c r="AC21" s="43"/>
      <c r="AD21" s="43"/>
      <c r="AE21" s="43"/>
      <c r="AF21" s="43"/>
      <c r="AG21" s="43"/>
      <c r="AH21" s="43"/>
      <c r="AI21" s="43"/>
      <c r="AJ21" s="43"/>
      <c r="AK21" s="43"/>
      <c r="AL21" s="43"/>
      <c r="AM21" s="43"/>
      <c r="AN21" s="43"/>
      <c r="AO21" s="43"/>
      <c r="AP21" s="43"/>
      <c r="AQ21" s="44"/>
      <c r="AR21" s="43"/>
      <c r="AS21" s="43"/>
      <c r="AT21" s="43"/>
      <c r="AU21" s="43"/>
      <c r="AV21" s="43"/>
      <c r="AW21" s="43"/>
      <c r="AX21" s="43"/>
      <c r="AY21" s="45"/>
      <c r="AZ21" s="28"/>
      <c r="BA21" s="28"/>
      <c r="BB21" s="34"/>
      <c r="BC21" s="28"/>
      <c r="BD21" s="13"/>
      <c r="BE21" s="15"/>
      <c r="BF21" s="15"/>
      <c r="BG21" s="15"/>
      <c r="BH21" s="14"/>
      <c r="BI21" s="13"/>
      <c r="BJ21" s="15"/>
      <c r="BK21" s="15"/>
      <c r="BL21" s="15"/>
      <c r="BM21" s="15"/>
      <c r="BN21" s="16"/>
      <c r="BO21" s="17"/>
      <c r="BP21" s="66" t="str">
        <f t="shared" si="9"/>
        <v/>
      </c>
      <c r="BQ21" s="88">
        <f t="shared" si="10"/>
        <v>0</v>
      </c>
      <c r="BR21" s="88">
        <f t="shared" si="11"/>
        <v>0</v>
      </c>
      <c r="BS21" s="88">
        <f t="shared" si="12"/>
        <v>1</v>
      </c>
      <c r="BT21" s="88">
        <f t="shared" si="13"/>
        <v>1</v>
      </c>
      <c r="BU21" s="88">
        <f t="shared" si="14"/>
        <v>1</v>
      </c>
      <c r="BV21" s="88">
        <f t="shared" si="15"/>
        <v>1</v>
      </c>
      <c r="BW21" s="88">
        <f t="shared" si="16"/>
        <v>1</v>
      </c>
      <c r="BX21" s="88">
        <f t="shared" si="17"/>
        <v>1</v>
      </c>
      <c r="BY21" s="88">
        <f t="shared" si="18"/>
        <v>1</v>
      </c>
      <c r="BZ21" s="88">
        <f t="shared" si="19"/>
        <v>1</v>
      </c>
      <c r="CA21" s="88">
        <f t="shared" si="20"/>
        <v>8</v>
      </c>
      <c r="CB21" s="5"/>
      <c r="CC21" s="89" t="str">
        <f t="shared" si="21"/>
        <v/>
      </c>
      <c r="CD21" s="64" t="str">
        <f t="shared" si="22"/>
        <v/>
      </c>
      <c r="CE21" s="64" t="str">
        <f t="shared" si="23"/>
        <v/>
      </c>
      <c r="CF21" s="64" t="str">
        <f t="shared" si="24"/>
        <v/>
      </c>
      <c r="CG21" s="64" t="str">
        <f t="shared" si="25"/>
        <v/>
      </c>
      <c r="CH21" s="64" t="str">
        <f t="shared" si="26"/>
        <v/>
      </c>
      <c r="CI21" s="64" t="str">
        <f t="shared" si="27"/>
        <v/>
      </c>
    </row>
    <row r="22" spans="1:87" s="18" customFormat="1" ht="23.45" customHeight="1">
      <c r="A22" s="59">
        <v>14</v>
      </c>
      <c r="B22" s="27"/>
      <c r="C22" s="28"/>
      <c r="D22" s="28"/>
      <c r="E22" s="29"/>
      <c r="F22" s="41"/>
      <c r="G22" s="43"/>
      <c r="H22" s="43"/>
      <c r="I22" s="43"/>
      <c r="J22" s="41"/>
      <c r="K22" s="42"/>
      <c r="L22" s="43"/>
      <c r="M22" s="43"/>
      <c r="N22" s="43"/>
      <c r="O22" s="43"/>
      <c r="P22" s="42"/>
      <c r="Q22" s="42"/>
      <c r="R22" s="42"/>
      <c r="S22" s="42"/>
      <c r="T22" s="42"/>
      <c r="U22" s="42"/>
      <c r="V22" s="42"/>
      <c r="W22" s="42"/>
      <c r="X22" s="42"/>
      <c r="Y22" s="42"/>
      <c r="Z22" s="42"/>
      <c r="AA22" s="42"/>
      <c r="AB22" s="43"/>
      <c r="AC22" s="43"/>
      <c r="AD22" s="43"/>
      <c r="AE22" s="43"/>
      <c r="AF22" s="43"/>
      <c r="AG22" s="43"/>
      <c r="AH22" s="43"/>
      <c r="AI22" s="43"/>
      <c r="AJ22" s="43"/>
      <c r="AK22" s="43"/>
      <c r="AL22" s="43"/>
      <c r="AM22" s="43"/>
      <c r="AN22" s="43"/>
      <c r="AO22" s="43"/>
      <c r="AP22" s="43"/>
      <c r="AQ22" s="44"/>
      <c r="AR22" s="43"/>
      <c r="AS22" s="43"/>
      <c r="AT22" s="43"/>
      <c r="AU22" s="43"/>
      <c r="AV22" s="43"/>
      <c r="AW22" s="43"/>
      <c r="AX22" s="43"/>
      <c r="AY22" s="45"/>
      <c r="AZ22" s="28"/>
      <c r="BA22" s="28"/>
      <c r="BB22" s="34"/>
      <c r="BC22" s="28"/>
      <c r="BD22" s="13"/>
      <c r="BE22" s="15"/>
      <c r="BF22" s="15"/>
      <c r="BG22" s="15"/>
      <c r="BH22" s="14"/>
      <c r="BI22" s="13"/>
      <c r="BJ22" s="15"/>
      <c r="BK22" s="15"/>
      <c r="BL22" s="15"/>
      <c r="BM22" s="15"/>
      <c r="BN22" s="16"/>
      <c r="BO22" s="17"/>
      <c r="BP22" s="66" t="str">
        <f t="shared" si="9"/>
        <v/>
      </c>
      <c r="BQ22" s="88">
        <f t="shared" si="10"/>
        <v>0</v>
      </c>
      <c r="BR22" s="88">
        <f t="shared" si="11"/>
        <v>0</v>
      </c>
      <c r="BS22" s="88">
        <f t="shared" si="12"/>
        <v>1</v>
      </c>
      <c r="BT22" s="88">
        <f t="shared" si="13"/>
        <v>1</v>
      </c>
      <c r="BU22" s="88">
        <f t="shared" si="14"/>
        <v>1</v>
      </c>
      <c r="BV22" s="88">
        <f t="shared" si="15"/>
        <v>1</v>
      </c>
      <c r="BW22" s="88">
        <f t="shared" si="16"/>
        <v>1</v>
      </c>
      <c r="BX22" s="88">
        <f t="shared" si="17"/>
        <v>1</v>
      </c>
      <c r="BY22" s="88">
        <f t="shared" si="18"/>
        <v>1</v>
      </c>
      <c r="BZ22" s="88">
        <f t="shared" si="19"/>
        <v>1</v>
      </c>
      <c r="CA22" s="88">
        <f t="shared" si="20"/>
        <v>8</v>
      </c>
      <c r="CB22" s="5"/>
      <c r="CC22" s="89" t="str">
        <f t="shared" si="21"/>
        <v/>
      </c>
      <c r="CD22" s="64" t="str">
        <f t="shared" si="22"/>
        <v/>
      </c>
      <c r="CE22" s="64" t="str">
        <f t="shared" si="23"/>
        <v/>
      </c>
      <c r="CF22" s="64" t="str">
        <f t="shared" si="24"/>
        <v/>
      </c>
      <c r="CG22" s="64" t="str">
        <f t="shared" si="25"/>
        <v/>
      </c>
      <c r="CH22" s="64" t="str">
        <f t="shared" si="26"/>
        <v/>
      </c>
      <c r="CI22" s="64" t="str">
        <f t="shared" si="27"/>
        <v/>
      </c>
    </row>
    <row r="23" spans="1:87" s="18" customFormat="1" ht="23.45" customHeight="1">
      <c r="A23" s="59">
        <v>15</v>
      </c>
      <c r="B23" s="27"/>
      <c r="C23" s="28"/>
      <c r="D23" s="28"/>
      <c r="E23" s="29"/>
      <c r="F23" s="41"/>
      <c r="G23" s="43"/>
      <c r="H23" s="43"/>
      <c r="I23" s="43"/>
      <c r="J23" s="41"/>
      <c r="K23" s="42"/>
      <c r="L23" s="43"/>
      <c r="M23" s="43"/>
      <c r="N23" s="43"/>
      <c r="O23" s="43"/>
      <c r="P23" s="42"/>
      <c r="Q23" s="42"/>
      <c r="R23" s="42"/>
      <c r="S23" s="42"/>
      <c r="T23" s="42"/>
      <c r="U23" s="42"/>
      <c r="V23" s="42"/>
      <c r="W23" s="42"/>
      <c r="X23" s="42"/>
      <c r="Y23" s="42"/>
      <c r="Z23" s="42"/>
      <c r="AA23" s="42"/>
      <c r="AB23" s="43"/>
      <c r="AC23" s="43"/>
      <c r="AD23" s="43"/>
      <c r="AE23" s="43"/>
      <c r="AF23" s="43"/>
      <c r="AG23" s="43"/>
      <c r="AH23" s="43"/>
      <c r="AI23" s="43"/>
      <c r="AJ23" s="43"/>
      <c r="AK23" s="43"/>
      <c r="AL23" s="43"/>
      <c r="AM23" s="43"/>
      <c r="AN23" s="43"/>
      <c r="AO23" s="43"/>
      <c r="AP23" s="43"/>
      <c r="AQ23" s="44"/>
      <c r="AR23" s="43"/>
      <c r="AS23" s="43"/>
      <c r="AT23" s="43"/>
      <c r="AU23" s="43"/>
      <c r="AV23" s="43"/>
      <c r="AW23" s="43"/>
      <c r="AX23" s="43"/>
      <c r="AY23" s="45"/>
      <c r="AZ23" s="28"/>
      <c r="BA23" s="28"/>
      <c r="BB23" s="34"/>
      <c r="BC23" s="28"/>
      <c r="BD23" s="13"/>
      <c r="BE23" s="15"/>
      <c r="BF23" s="15"/>
      <c r="BG23" s="15"/>
      <c r="BH23" s="14"/>
      <c r="BI23" s="13"/>
      <c r="BJ23" s="15"/>
      <c r="BK23" s="15"/>
      <c r="BL23" s="15"/>
      <c r="BM23" s="15"/>
      <c r="BN23" s="16"/>
      <c r="BO23" s="17"/>
      <c r="BP23" s="66" t="str">
        <f t="shared" si="9"/>
        <v/>
      </c>
      <c r="BQ23" s="88">
        <f t="shared" si="10"/>
        <v>0</v>
      </c>
      <c r="BR23" s="88">
        <f t="shared" si="11"/>
        <v>0</v>
      </c>
      <c r="BS23" s="88">
        <f t="shared" si="12"/>
        <v>1</v>
      </c>
      <c r="BT23" s="88">
        <f t="shared" si="13"/>
        <v>1</v>
      </c>
      <c r="BU23" s="88">
        <f t="shared" si="14"/>
        <v>1</v>
      </c>
      <c r="BV23" s="88">
        <f t="shared" si="15"/>
        <v>1</v>
      </c>
      <c r="BW23" s="88">
        <f t="shared" si="16"/>
        <v>1</v>
      </c>
      <c r="BX23" s="88">
        <f t="shared" si="17"/>
        <v>1</v>
      </c>
      <c r="BY23" s="88">
        <f t="shared" si="18"/>
        <v>1</v>
      </c>
      <c r="BZ23" s="88">
        <f t="shared" si="19"/>
        <v>1</v>
      </c>
      <c r="CA23" s="88">
        <f t="shared" si="20"/>
        <v>8</v>
      </c>
      <c r="CB23" s="5"/>
      <c r="CC23" s="89" t="str">
        <f t="shared" si="21"/>
        <v/>
      </c>
      <c r="CD23" s="64" t="str">
        <f t="shared" si="22"/>
        <v/>
      </c>
      <c r="CE23" s="64" t="str">
        <f t="shared" si="23"/>
        <v/>
      </c>
      <c r="CF23" s="64" t="str">
        <f t="shared" si="24"/>
        <v/>
      </c>
      <c r="CG23" s="64" t="str">
        <f t="shared" si="25"/>
        <v/>
      </c>
      <c r="CH23" s="64" t="str">
        <f t="shared" si="26"/>
        <v/>
      </c>
      <c r="CI23" s="64" t="str">
        <f t="shared" si="27"/>
        <v/>
      </c>
    </row>
    <row r="24" spans="1:87" s="18" customFormat="1" ht="23.45" customHeight="1">
      <c r="A24" s="59">
        <v>16</v>
      </c>
      <c r="B24" s="27"/>
      <c r="C24" s="28"/>
      <c r="D24" s="28"/>
      <c r="E24" s="29"/>
      <c r="F24" s="41"/>
      <c r="G24" s="43"/>
      <c r="H24" s="43"/>
      <c r="I24" s="43"/>
      <c r="J24" s="41"/>
      <c r="K24" s="42"/>
      <c r="L24" s="43"/>
      <c r="M24" s="43"/>
      <c r="N24" s="43"/>
      <c r="O24" s="43"/>
      <c r="P24" s="42"/>
      <c r="Q24" s="42"/>
      <c r="R24" s="42"/>
      <c r="S24" s="42"/>
      <c r="T24" s="42"/>
      <c r="U24" s="42"/>
      <c r="V24" s="42"/>
      <c r="W24" s="42"/>
      <c r="X24" s="42"/>
      <c r="Y24" s="42"/>
      <c r="Z24" s="42"/>
      <c r="AA24" s="42"/>
      <c r="AB24" s="43"/>
      <c r="AC24" s="43"/>
      <c r="AD24" s="43"/>
      <c r="AE24" s="43"/>
      <c r="AF24" s="43"/>
      <c r="AG24" s="43"/>
      <c r="AH24" s="43"/>
      <c r="AI24" s="43"/>
      <c r="AJ24" s="43"/>
      <c r="AK24" s="43"/>
      <c r="AL24" s="43"/>
      <c r="AM24" s="43"/>
      <c r="AN24" s="43"/>
      <c r="AO24" s="43"/>
      <c r="AP24" s="43"/>
      <c r="AQ24" s="44"/>
      <c r="AR24" s="43"/>
      <c r="AS24" s="43"/>
      <c r="AT24" s="43"/>
      <c r="AU24" s="43"/>
      <c r="AV24" s="43"/>
      <c r="AW24" s="43"/>
      <c r="AX24" s="43"/>
      <c r="AY24" s="45"/>
      <c r="AZ24" s="28"/>
      <c r="BA24" s="28"/>
      <c r="BB24" s="34"/>
      <c r="BC24" s="28"/>
      <c r="BD24" s="13"/>
      <c r="BE24" s="15"/>
      <c r="BF24" s="15"/>
      <c r="BG24" s="15"/>
      <c r="BH24" s="14"/>
      <c r="BI24" s="13"/>
      <c r="BJ24" s="15"/>
      <c r="BK24" s="15"/>
      <c r="BL24" s="15"/>
      <c r="BM24" s="15"/>
      <c r="BN24" s="16"/>
      <c r="BO24" s="17"/>
      <c r="BP24" s="66" t="str">
        <f t="shared" si="9"/>
        <v/>
      </c>
      <c r="BQ24" s="88">
        <f t="shared" si="10"/>
        <v>0</v>
      </c>
      <c r="BR24" s="88">
        <f t="shared" si="11"/>
        <v>0</v>
      </c>
      <c r="BS24" s="88">
        <f t="shared" si="12"/>
        <v>1</v>
      </c>
      <c r="BT24" s="88">
        <f t="shared" si="13"/>
        <v>1</v>
      </c>
      <c r="BU24" s="88">
        <f t="shared" si="14"/>
        <v>1</v>
      </c>
      <c r="BV24" s="88">
        <f t="shared" si="15"/>
        <v>1</v>
      </c>
      <c r="BW24" s="88">
        <f t="shared" si="16"/>
        <v>1</v>
      </c>
      <c r="BX24" s="88">
        <f t="shared" si="17"/>
        <v>1</v>
      </c>
      <c r="BY24" s="88">
        <f t="shared" si="18"/>
        <v>1</v>
      </c>
      <c r="BZ24" s="88">
        <f t="shared" si="19"/>
        <v>1</v>
      </c>
      <c r="CA24" s="88">
        <f t="shared" si="20"/>
        <v>8</v>
      </c>
      <c r="CB24" s="5"/>
      <c r="CC24" s="89" t="str">
        <f t="shared" si="21"/>
        <v/>
      </c>
      <c r="CD24" s="64" t="str">
        <f t="shared" si="22"/>
        <v/>
      </c>
      <c r="CE24" s="64" t="str">
        <f t="shared" si="23"/>
        <v/>
      </c>
      <c r="CF24" s="64" t="str">
        <f t="shared" si="24"/>
        <v/>
      </c>
      <c r="CG24" s="64" t="str">
        <f t="shared" si="25"/>
        <v/>
      </c>
      <c r="CH24" s="64" t="str">
        <f t="shared" si="26"/>
        <v/>
      </c>
      <c r="CI24" s="64" t="str">
        <f t="shared" si="27"/>
        <v/>
      </c>
    </row>
    <row r="25" spans="1:87" s="18" customFormat="1" ht="23.45" customHeight="1">
      <c r="A25" s="59">
        <v>17</v>
      </c>
      <c r="B25" s="27"/>
      <c r="C25" s="28"/>
      <c r="D25" s="28"/>
      <c r="E25" s="29"/>
      <c r="F25" s="41"/>
      <c r="G25" s="43"/>
      <c r="H25" s="43"/>
      <c r="I25" s="43"/>
      <c r="J25" s="41"/>
      <c r="K25" s="42"/>
      <c r="L25" s="43"/>
      <c r="M25" s="43"/>
      <c r="N25" s="43"/>
      <c r="O25" s="43"/>
      <c r="P25" s="42"/>
      <c r="Q25" s="42"/>
      <c r="R25" s="42"/>
      <c r="S25" s="42"/>
      <c r="T25" s="42"/>
      <c r="U25" s="42"/>
      <c r="V25" s="42"/>
      <c r="W25" s="42"/>
      <c r="X25" s="42"/>
      <c r="Y25" s="42"/>
      <c r="Z25" s="42"/>
      <c r="AA25" s="42"/>
      <c r="AB25" s="43"/>
      <c r="AC25" s="43"/>
      <c r="AD25" s="43"/>
      <c r="AE25" s="43"/>
      <c r="AF25" s="43"/>
      <c r="AG25" s="43"/>
      <c r="AH25" s="43"/>
      <c r="AI25" s="43"/>
      <c r="AJ25" s="43"/>
      <c r="AK25" s="43"/>
      <c r="AL25" s="43"/>
      <c r="AM25" s="43"/>
      <c r="AN25" s="43"/>
      <c r="AO25" s="43"/>
      <c r="AP25" s="43"/>
      <c r="AQ25" s="44"/>
      <c r="AR25" s="43"/>
      <c r="AS25" s="43"/>
      <c r="AT25" s="43"/>
      <c r="AU25" s="43"/>
      <c r="AV25" s="43"/>
      <c r="AW25" s="43"/>
      <c r="AX25" s="43"/>
      <c r="AY25" s="45"/>
      <c r="AZ25" s="28"/>
      <c r="BA25" s="28"/>
      <c r="BB25" s="34"/>
      <c r="BC25" s="28"/>
      <c r="BD25" s="13"/>
      <c r="BE25" s="15"/>
      <c r="BF25" s="15"/>
      <c r="BG25" s="15"/>
      <c r="BH25" s="14"/>
      <c r="BI25" s="13"/>
      <c r="BJ25" s="15"/>
      <c r="BK25" s="15"/>
      <c r="BL25" s="15"/>
      <c r="BM25" s="15"/>
      <c r="BN25" s="16"/>
      <c r="BO25" s="17"/>
      <c r="BP25" s="66" t="str">
        <f t="shared" si="9"/>
        <v/>
      </c>
      <c r="BQ25" s="88">
        <f t="shared" si="10"/>
        <v>0</v>
      </c>
      <c r="BR25" s="88">
        <f t="shared" si="11"/>
        <v>0</v>
      </c>
      <c r="BS25" s="88">
        <f t="shared" si="12"/>
        <v>1</v>
      </c>
      <c r="BT25" s="88">
        <f t="shared" si="13"/>
        <v>1</v>
      </c>
      <c r="BU25" s="88">
        <f t="shared" si="14"/>
        <v>1</v>
      </c>
      <c r="BV25" s="88">
        <f t="shared" si="15"/>
        <v>1</v>
      </c>
      <c r="BW25" s="88">
        <f t="shared" si="16"/>
        <v>1</v>
      </c>
      <c r="BX25" s="88">
        <f t="shared" si="17"/>
        <v>1</v>
      </c>
      <c r="BY25" s="88">
        <f t="shared" si="18"/>
        <v>1</v>
      </c>
      <c r="BZ25" s="88">
        <f t="shared" si="19"/>
        <v>1</v>
      </c>
      <c r="CA25" s="88">
        <f t="shared" si="20"/>
        <v>8</v>
      </c>
      <c r="CB25" s="5"/>
      <c r="CC25" s="89" t="str">
        <f t="shared" si="21"/>
        <v/>
      </c>
      <c r="CD25" s="64" t="str">
        <f t="shared" si="22"/>
        <v/>
      </c>
      <c r="CE25" s="64" t="str">
        <f t="shared" si="23"/>
        <v/>
      </c>
      <c r="CF25" s="64" t="str">
        <f t="shared" si="24"/>
        <v/>
      </c>
      <c r="CG25" s="64" t="str">
        <f t="shared" si="25"/>
        <v/>
      </c>
      <c r="CH25" s="64" t="str">
        <f t="shared" si="26"/>
        <v/>
      </c>
      <c r="CI25" s="64" t="str">
        <f t="shared" si="27"/>
        <v/>
      </c>
    </row>
    <row r="26" spans="1:87" s="18" customFormat="1" ht="23.45" customHeight="1">
      <c r="A26" s="59">
        <v>18</v>
      </c>
      <c r="B26" s="27"/>
      <c r="C26" s="28"/>
      <c r="D26" s="28"/>
      <c r="E26" s="29"/>
      <c r="F26" s="41"/>
      <c r="G26" s="43"/>
      <c r="H26" s="43"/>
      <c r="I26" s="43"/>
      <c r="J26" s="41"/>
      <c r="K26" s="42"/>
      <c r="L26" s="43"/>
      <c r="M26" s="43"/>
      <c r="N26" s="43"/>
      <c r="O26" s="43"/>
      <c r="P26" s="42"/>
      <c r="Q26" s="42"/>
      <c r="R26" s="42"/>
      <c r="S26" s="42"/>
      <c r="T26" s="42"/>
      <c r="U26" s="42"/>
      <c r="V26" s="42"/>
      <c r="W26" s="42"/>
      <c r="X26" s="42"/>
      <c r="Y26" s="42"/>
      <c r="Z26" s="42"/>
      <c r="AA26" s="42"/>
      <c r="AB26" s="43"/>
      <c r="AC26" s="43"/>
      <c r="AD26" s="43"/>
      <c r="AE26" s="43"/>
      <c r="AF26" s="43"/>
      <c r="AG26" s="43"/>
      <c r="AH26" s="43"/>
      <c r="AI26" s="43"/>
      <c r="AJ26" s="43"/>
      <c r="AK26" s="43"/>
      <c r="AL26" s="43"/>
      <c r="AM26" s="43"/>
      <c r="AN26" s="43"/>
      <c r="AO26" s="43"/>
      <c r="AP26" s="43"/>
      <c r="AQ26" s="44"/>
      <c r="AR26" s="43"/>
      <c r="AS26" s="43"/>
      <c r="AT26" s="43"/>
      <c r="AU26" s="43"/>
      <c r="AV26" s="43"/>
      <c r="AW26" s="43"/>
      <c r="AX26" s="43"/>
      <c r="AY26" s="45"/>
      <c r="AZ26" s="28"/>
      <c r="BA26" s="28"/>
      <c r="BB26" s="34"/>
      <c r="BC26" s="28"/>
      <c r="BD26" s="13"/>
      <c r="BE26" s="15"/>
      <c r="BF26" s="15"/>
      <c r="BG26" s="15"/>
      <c r="BH26" s="14"/>
      <c r="BI26" s="13"/>
      <c r="BJ26" s="15"/>
      <c r="BK26" s="15"/>
      <c r="BL26" s="15"/>
      <c r="BM26" s="15"/>
      <c r="BN26" s="16"/>
      <c r="BO26" s="17"/>
      <c r="BP26" s="66" t="str">
        <f t="shared" si="9"/>
        <v/>
      </c>
      <c r="BQ26" s="88">
        <f t="shared" si="10"/>
        <v>0</v>
      </c>
      <c r="BR26" s="88">
        <f t="shared" si="11"/>
        <v>0</v>
      </c>
      <c r="BS26" s="88">
        <f t="shared" si="12"/>
        <v>1</v>
      </c>
      <c r="BT26" s="88">
        <f t="shared" si="13"/>
        <v>1</v>
      </c>
      <c r="BU26" s="88">
        <f t="shared" si="14"/>
        <v>1</v>
      </c>
      <c r="BV26" s="88">
        <f t="shared" si="15"/>
        <v>1</v>
      </c>
      <c r="BW26" s="88">
        <f t="shared" si="16"/>
        <v>1</v>
      </c>
      <c r="BX26" s="88">
        <f t="shared" si="17"/>
        <v>1</v>
      </c>
      <c r="BY26" s="88">
        <f t="shared" si="18"/>
        <v>1</v>
      </c>
      <c r="BZ26" s="88">
        <f t="shared" si="19"/>
        <v>1</v>
      </c>
      <c r="CA26" s="88">
        <f t="shared" si="20"/>
        <v>8</v>
      </c>
      <c r="CB26" s="5"/>
      <c r="CC26" s="89" t="str">
        <f t="shared" si="21"/>
        <v/>
      </c>
      <c r="CD26" s="64" t="str">
        <f t="shared" si="22"/>
        <v/>
      </c>
      <c r="CE26" s="64" t="str">
        <f t="shared" si="23"/>
        <v/>
      </c>
      <c r="CF26" s="64" t="str">
        <f t="shared" si="24"/>
        <v/>
      </c>
      <c r="CG26" s="64" t="str">
        <f t="shared" si="25"/>
        <v/>
      </c>
      <c r="CH26" s="64" t="str">
        <f t="shared" si="26"/>
        <v/>
      </c>
      <c r="CI26" s="64" t="str">
        <f t="shared" si="27"/>
        <v/>
      </c>
    </row>
    <row r="27" spans="1:87" s="18" customFormat="1" ht="23.45" customHeight="1">
      <c r="A27" s="59">
        <v>19</v>
      </c>
      <c r="B27" s="27"/>
      <c r="C27" s="28"/>
      <c r="D27" s="28"/>
      <c r="E27" s="29"/>
      <c r="F27" s="41"/>
      <c r="G27" s="43"/>
      <c r="H27" s="43"/>
      <c r="I27" s="43"/>
      <c r="J27" s="41"/>
      <c r="K27" s="42"/>
      <c r="L27" s="43"/>
      <c r="M27" s="43"/>
      <c r="N27" s="43"/>
      <c r="O27" s="43"/>
      <c r="P27" s="42"/>
      <c r="Q27" s="42"/>
      <c r="R27" s="42"/>
      <c r="S27" s="42"/>
      <c r="T27" s="42"/>
      <c r="U27" s="42"/>
      <c r="V27" s="42"/>
      <c r="W27" s="42"/>
      <c r="X27" s="42"/>
      <c r="Y27" s="42"/>
      <c r="Z27" s="42"/>
      <c r="AA27" s="42"/>
      <c r="AB27" s="43"/>
      <c r="AC27" s="43"/>
      <c r="AD27" s="43"/>
      <c r="AE27" s="43"/>
      <c r="AF27" s="43"/>
      <c r="AG27" s="43"/>
      <c r="AH27" s="43"/>
      <c r="AI27" s="43"/>
      <c r="AJ27" s="43"/>
      <c r="AK27" s="43"/>
      <c r="AL27" s="43"/>
      <c r="AM27" s="43"/>
      <c r="AN27" s="43"/>
      <c r="AO27" s="43"/>
      <c r="AP27" s="43"/>
      <c r="AQ27" s="44"/>
      <c r="AR27" s="43"/>
      <c r="AS27" s="43"/>
      <c r="AT27" s="43"/>
      <c r="AU27" s="43"/>
      <c r="AV27" s="43"/>
      <c r="AW27" s="43"/>
      <c r="AX27" s="43"/>
      <c r="AY27" s="45"/>
      <c r="AZ27" s="28"/>
      <c r="BA27" s="28"/>
      <c r="BB27" s="34"/>
      <c r="BC27" s="28"/>
      <c r="BD27" s="13"/>
      <c r="BE27" s="15"/>
      <c r="BF27" s="15"/>
      <c r="BG27" s="15"/>
      <c r="BH27" s="14"/>
      <c r="BI27" s="13"/>
      <c r="BJ27" s="15"/>
      <c r="BK27" s="15"/>
      <c r="BL27" s="15"/>
      <c r="BM27" s="15"/>
      <c r="BN27" s="16"/>
      <c r="BO27" s="17"/>
      <c r="BP27" s="66" t="str">
        <f t="shared" si="9"/>
        <v/>
      </c>
      <c r="BQ27" s="88">
        <f t="shared" si="10"/>
        <v>0</v>
      </c>
      <c r="BR27" s="88">
        <f t="shared" si="11"/>
        <v>0</v>
      </c>
      <c r="BS27" s="88">
        <f t="shared" si="12"/>
        <v>1</v>
      </c>
      <c r="BT27" s="88">
        <f t="shared" si="13"/>
        <v>1</v>
      </c>
      <c r="BU27" s="88">
        <f t="shared" si="14"/>
        <v>1</v>
      </c>
      <c r="BV27" s="88">
        <f t="shared" si="15"/>
        <v>1</v>
      </c>
      <c r="BW27" s="88">
        <f t="shared" si="16"/>
        <v>1</v>
      </c>
      <c r="BX27" s="88">
        <f t="shared" si="17"/>
        <v>1</v>
      </c>
      <c r="BY27" s="88">
        <f t="shared" si="18"/>
        <v>1</v>
      </c>
      <c r="BZ27" s="88">
        <f t="shared" si="19"/>
        <v>1</v>
      </c>
      <c r="CA27" s="88">
        <f t="shared" si="20"/>
        <v>8</v>
      </c>
      <c r="CB27" s="5"/>
      <c r="CC27" s="89" t="str">
        <f t="shared" si="21"/>
        <v/>
      </c>
      <c r="CD27" s="64" t="str">
        <f t="shared" si="22"/>
        <v/>
      </c>
      <c r="CE27" s="64" t="str">
        <f t="shared" si="23"/>
        <v/>
      </c>
      <c r="CF27" s="64" t="str">
        <f t="shared" si="24"/>
        <v/>
      </c>
      <c r="CG27" s="64" t="str">
        <f t="shared" si="25"/>
        <v/>
      </c>
      <c r="CH27" s="64" t="str">
        <f t="shared" si="26"/>
        <v/>
      </c>
      <c r="CI27" s="64" t="str">
        <f t="shared" si="27"/>
        <v/>
      </c>
    </row>
    <row r="28" spans="1:87" s="18" customFormat="1" ht="23.45" customHeight="1">
      <c r="A28" s="60">
        <v>20</v>
      </c>
      <c r="B28" s="27"/>
      <c r="C28" s="28"/>
      <c r="D28" s="28"/>
      <c r="E28" s="29"/>
      <c r="F28" s="41"/>
      <c r="G28" s="43"/>
      <c r="H28" s="43"/>
      <c r="I28" s="43"/>
      <c r="J28" s="41"/>
      <c r="K28" s="42"/>
      <c r="L28" s="43"/>
      <c r="M28" s="43"/>
      <c r="N28" s="43"/>
      <c r="O28" s="43"/>
      <c r="P28" s="42"/>
      <c r="Q28" s="42"/>
      <c r="R28" s="42"/>
      <c r="S28" s="42"/>
      <c r="T28" s="42"/>
      <c r="U28" s="42"/>
      <c r="V28" s="42"/>
      <c r="W28" s="42"/>
      <c r="X28" s="42"/>
      <c r="Y28" s="42"/>
      <c r="Z28" s="42"/>
      <c r="AA28" s="42"/>
      <c r="AB28" s="43"/>
      <c r="AC28" s="43"/>
      <c r="AD28" s="43"/>
      <c r="AE28" s="43"/>
      <c r="AF28" s="43"/>
      <c r="AG28" s="43"/>
      <c r="AH28" s="43"/>
      <c r="AI28" s="43"/>
      <c r="AJ28" s="43"/>
      <c r="AK28" s="43"/>
      <c r="AL28" s="43"/>
      <c r="AM28" s="43"/>
      <c r="AN28" s="43"/>
      <c r="AO28" s="43"/>
      <c r="AP28" s="43"/>
      <c r="AQ28" s="44"/>
      <c r="AR28" s="43"/>
      <c r="AS28" s="43"/>
      <c r="AT28" s="43"/>
      <c r="AU28" s="43"/>
      <c r="AV28" s="43"/>
      <c r="AW28" s="43"/>
      <c r="AX28" s="43"/>
      <c r="AY28" s="45"/>
      <c r="AZ28" s="28"/>
      <c r="BA28" s="28"/>
      <c r="BB28" s="34"/>
      <c r="BC28" s="28"/>
      <c r="BD28" s="13"/>
      <c r="BE28" s="15"/>
      <c r="BF28" s="15"/>
      <c r="BG28" s="15"/>
      <c r="BH28" s="14"/>
      <c r="BI28" s="13"/>
      <c r="BJ28" s="15"/>
      <c r="BK28" s="15"/>
      <c r="BL28" s="15"/>
      <c r="BM28" s="15"/>
      <c r="BN28" s="16"/>
      <c r="BO28" s="17"/>
      <c r="BP28" s="66" t="str">
        <f t="shared" si="9"/>
        <v/>
      </c>
      <c r="BQ28" s="88">
        <f t="shared" si="10"/>
        <v>0</v>
      </c>
      <c r="BR28" s="88">
        <f t="shared" si="11"/>
        <v>0</v>
      </c>
      <c r="BS28" s="88">
        <f t="shared" si="12"/>
        <v>1</v>
      </c>
      <c r="BT28" s="88">
        <f t="shared" si="13"/>
        <v>1</v>
      </c>
      <c r="BU28" s="88">
        <f t="shared" si="14"/>
        <v>1</v>
      </c>
      <c r="BV28" s="88">
        <f t="shared" si="15"/>
        <v>1</v>
      </c>
      <c r="BW28" s="88">
        <f t="shared" si="16"/>
        <v>1</v>
      </c>
      <c r="BX28" s="88">
        <f t="shared" si="17"/>
        <v>1</v>
      </c>
      <c r="BY28" s="88">
        <f t="shared" si="18"/>
        <v>1</v>
      </c>
      <c r="BZ28" s="88">
        <f t="shared" si="19"/>
        <v>1</v>
      </c>
      <c r="CA28" s="88">
        <f t="shared" si="20"/>
        <v>8</v>
      </c>
      <c r="CB28" s="5"/>
      <c r="CC28" s="89" t="str">
        <f t="shared" si="21"/>
        <v/>
      </c>
      <c r="CD28" s="64" t="str">
        <f t="shared" si="22"/>
        <v/>
      </c>
      <c r="CE28" s="64" t="str">
        <f t="shared" si="23"/>
        <v/>
      </c>
      <c r="CF28" s="64" t="str">
        <f t="shared" si="24"/>
        <v/>
      </c>
      <c r="CG28" s="64" t="str">
        <f t="shared" si="25"/>
        <v/>
      </c>
      <c r="CH28" s="64" t="str">
        <f t="shared" si="26"/>
        <v/>
      </c>
      <c r="CI28" s="64" t="str">
        <f t="shared" si="27"/>
        <v/>
      </c>
    </row>
    <row r="29" spans="1:87" s="18" customFormat="1" ht="23.45" customHeight="1">
      <c r="A29" s="60">
        <v>21</v>
      </c>
      <c r="B29" s="27"/>
      <c r="C29" s="28"/>
      <c r="D29" s="28"/>
      <c r="E29" s="29"/>
      <c r="F29" s="41"/>
      <c r="G29" s="43"/>
      <c r="H29" s="43"/>
      <c r="I29" s="43"/>
      <c r="J29" s="41"/>
      <c r="K29" s="42"/>
      <c r="L29" s="43"/>
      <c r="M29" s="43"/>
      <c r="N29" s="43"/>
      <c r="O29" s="43"/>
      <c r="P29" s="42"/>
      <c r="Q29" s="42"/>
      <c r="R29" s="42"/>
      <c r="S29" s="42"/>
      <c r="T29" s="42"/>
      <c r="U29" s="42"/>
      <c r="V29" s="42"/>
      <c r="W29" s="42"/>
      <c r="X29" s="42"/>
      <c r="Y29" s="42"/>
      <c r="Z29" s="42"/>
      <c r="AA29" s="42"/>
      <c r="AB29" s="43"/>
      <c r="AC29" s="43"/>
      <c r="AD29" s="43"/>
      <c r="AE29" s="43"/>
      <c r="AF29" s="43"/>
      <c r="AG29" s="43"/>
      <c r="AH29" s="43"/>
      <c r="AI29" s="43"/>
      <c r="AJ29" s="43"/>
      <c r="AK29" s="43"/>
      <c r="AL29" s="43"/>
      <c r="AM29" s="43"/>
      <c r="AN29" s="43"/>
      <c r="AO29" s="43"/>
      <c r="AP29" s="43"/>
      <c r="AQ29" s="44"/>
      <c r="AR29" s="43"/>
      <c r="AS29" s="43"/>
      <c r="AT29" s="43"/>
      <c r="AU29" s="43"/>
      <c r="AV29" s="43"/>
      <c r="AW29" s="43"/>
      <c r="AX29" s="43"/>
      <c r="AY29" s="45"/>
      <c r="AZ29" s="28"/>
      <c r="BA29" s="28"/>
      <c r="BB29" s="34"/>
      <c r="BC29" s="28"/>
      <c r="BD29" s="13"/>
      <c r="BE29" s="15"/>
      <c r="BF29" s="15"/>
      <c r="BG29" s="15"/>
      <c r="BH29" s="14"/>
      <c r="BI29" s="13"/>
      <c r="BJ29" s="15"/>
      <c r="BK29" s="15"/>
      <c r="BL29" s="15"/>
      <c r="BM29" s="15"/>
      <c r="BN29" s="16"/>
      <c r="BO29" s="17"/>
      <c r="BP29" s="66" t="str">
        <f t="shared" si="9"/>
        <v/>
      </c>
      <c r="BQ29" s="88">
        <f t="shared" si="10"/>
        <v>0</v>
      </c>
      <c r="BR29" s="88">
        <f t="shared" si="11"/>
        <v>0</v>
      </c>
      <c r="BS29" s="88">
        <f t="shared" si="12"/>
        <v>1</v>
      </c>
      <c r="BT29" s="88">
        <f t="shared" si="13"/>
        <v>1</v>
      </c>
      <c r="BU29" s="88">
        <f t="shared" si="14"/>
        <v>1</v>
      </c>
      <c r="BV29" s="88">
        <f t="shared" si="15"/>
        <v>1</v>
      </c>
      <c r="BW29" s="88">
        <f t="shared" si="16"/>
        <v>1</v>
      </c>
      <c r="BX29" s="88">
        <f t="shared" si="17"/>
        <v>1</v>
      </c>
      <c r="BY29" s="88">
        <f t="shared" si="18"/>
        <v>1</v>
      </c>
      <c r="BZ29" s="88">
        <f t="shared" si="19"/>
        <v>1</v>
      </c>
      <c r="CA29" s="88">
        <f t="shared" si="20"/>
        <v>8</v>
      </c>
      <c r="CB29" s="5"/>
      <c r="CC29" s="89" t="str">
        <f t="shared" si="21"/>
        <v/>
      </c>
      <c r="CD29" s="64" t="str">
        <f t="shared" si="22"/>
        <v/>
      </c>
      <c r="CE29" s="64" t="str">
        <f t="shared" si="23"/>
        <v/>
      </c>
      <c r="CF29" s="64" t="str">
        <f t="shared" si="24"/>
        <v/>
      </c>
      <c r="CG29" s="64" t="str">
        <f t="shared" si="25"/>
        <v/>
      </c>
      <c r="CH29" s="64" t="str">
        <f t="shared" si="26"/>
        <v/>
      </c>
      <c r="CI29" s="64" t="str">
        <f t="shared" si="27"/>
        <v/>
      </c>
    </row>
    <row r="30" spans="1:87" s="18" customFormat="1" ht="23.45" customHeight="1">
      <c r="A30" s="60">
        <v>22</v>
      </c>
      <c r="B30" s="27"/>
      <c r="C30" s="28"/>
      <c r="D30" s="28"/>
      <c r="E30" s="29"/>
      <c r="F30" s="41"/>
      <c r="G30" s="43"/>
      <c r="H30" s="43"/>
      <c r="I30" s="43"/>
      <c r="J30" s="41"/>
      <c r="K30" s="42"/>
      <c r="L30" s="43"/>
      <c r="M30" s="43"/>
      <c r="N30" s="43"/>
      <c r="O30" s="43"/>
      <c r="P30" s="42"/>
      <c r="Q30" s="42"/>
      <c r="R30" s="42"/>
      <c r="S30" s="42"/>
      <c r="T30" s="42"/>
      <c r="U30" s="42"/>
      <c r="V30" s="42"/>
      <c r="W30" s="42"/>
      <c r="X30" s="42"/>
      <c r="Y30" s="42"/>
      <c r="Z30" s="42"/>
      <c r="AA30" s="42"/>
      <c r="AB30" s="43"/>
      <c r="AC30" s="43"/>
      <c r="AD30" s="43"/>
      <c r="AE30" s="43"/>
      <c r="AF30" s="43"/>
      <c r="AG30" s="43"/>
      <c r="AH30" s="43"/>
      <c r="AI30" s="43"/>
      <c r="AJ30" s="43"/>
      <c r="AK30" s="43"/>
      <c r="AL30" s="43"/>
      <c r="AM30" s="43"/>
      <c r="AN30" s="43"/>
      <c r="AO30" s="43"/>
      <c r="AP30" s="43"/>
      <c r="AQ30" s="44"/>
      <c r="AR30" s="43"/>
      <c r="AS30" s="43"/>
      <c r="AT30" s="43"/>
      <c r="AU30" s="43"/>
      <c r="AV30" s="43"/>
      <c r="AW30" s="43"/>
      <c r="AX30" s="43"/>
      <c r="AY30" s="45"/>
      <c r="AZ30" s="28"/>
      <c r="BA30" s="28"/>
      <c r="BB30" s="34"/>
      <c r="BC30" s="28"/>
      <c r="BD30" s="13"/>
      <c r="BE30" s="15"/>
      <c r="BF30" s="15"/>
      <c r="BG30" s="15"/>
      <c r="BH30" s="14"/>
      <c r="BI30" s="13"/>
      <c r="BJ30" s="15"/>
      <c r="BK30" s="15"/>
      <c r="BL30" s="15"/>
      <c r="BM30" s="15"/>
      <c r="BN30" s="16"/>
      <c r="BO30" s="17"/>
      <c r="BP30" s="66" t="str">
        <f t="shared" si="9"/>
        <v/>
      </c>
      <c r="BQ30" s="88">
        <f t="shared" si="10"/>
        <v>0</v>
      </c>
      <c r="BR30" s="88">
        <f t="shared" si="11"/>
        <v>0</v>
      </c>
      <c r="BS30" s="88">
        <f t="shared" si="12"/>
        <v>1</v>
      </c>
      <c r="BT30" s="88">
        <f t="shared" si="13"/>
        <v>1</v>
      </c>
      <c r="BU30" s="88">
        <f t="shared" si="14"/>
        <v>1</v>
      </c>
      <c r="BV30" s="88">
        <f t="shared" si="15"/>
        <v>1</v>
      </c>
      <c r="BW30" s="88">
        <f t="shared" si="16"/>
        <v>1</v>
      </c>
      <c r="BX30" s="88">
        <f t="shared" si="17"/>
        <v>1</v>
      </c>
      <c r="BY30" s="88">
        <f t="shared" si="18"/>
        <v>1</v>
      </c>
      <c r="BZ30" s="88">
        <f t="shared" si="19"/>
        <v>1</v>
      </c>
      <c r="CA30" s="88">
        <f t="shared" si="20"/>
        <v>8</v>
      </c>
      <c r="CB30" s="5"/>
      <c r="CC30" s="89" t="str">
        <f t="shared" si="21"/>
        <v/>
      </c>
      <c r="CD30" s="64" t="str">
        <f t="shared" si="22"/>
        <v/>
      </c>
      <c r="CE30" s="64" t="str">
        <f t="shared" si="23"/>
        <v/>
      </c>
      <c r="CF30" s="64" t="str">
        <f t="shared" si="24"/>
        <v/>
      </c>
      <c r="CG30" s="64" t="str">
        <f t="shared" si="25"/>
        <v/>
      </c>
      <c r="CH30" s="64" t="str">
        <f t="shared" si="26"/>
        <v/>
      </c>
      <c r="CI30" s="64" t="str">
        <f t="shared" si="27"/>
        <v/>
      </c>
    </row>
    <row r="31" spans="1:87" s="18" customFormat="1" ht="23.45" customHeight="1">
      <c r="A31" s="60">
        <v>23</v>
      </c>
      <c r="B31" s="27"/>
      <c r="C31" s="28"/>
      <c r="D31" s="28"/>
      <c r="E31" s="29"/>
      <c r="F31" s="41"/>
      <c r="G31" s="43"/>
      <c r="H31" s="43"/>
      <c r="I31" s="43"/>
      <c r="J31" s="41"/>
      <c r="K31" s="42"/>
      <c r="L31" s="43"/>
      <c r="M31" s="43"/>
      <c r="N31" s="43"/>
      <c r="O31" s="43"/>
      <c r="P31" s="42"/>
      <c r="Q31" s="42"/>
      <c r="R31" s="42"/>
      <c r="S31" s="42"/>
      <c r="T31" s="42"/>
      <c r="U31" s="42"/>
      <c r="V31" s="42"/>
      <c r="W31" s="42"/>
      <c r="X31" s="42"/>
      <c r="Y31" s="42"/>
      <c r="Z31" s="42"/>
      <c r="AA31" s="42"/>
      <c r="AB31" s="43"/>
      <c r="AC31" s="43"/>
      <c r="AD31" s="43"/>
      <c r="AE31" s="43"/>
      <c r="AF31" s="43"/>
      <c r="AG31" s="43"/>
      <c r="AH31" s="43"/>
      <c r="AI31" s="43"/>
      <c r="AJ31" s="43"/>
      <c r="AK31" s="43"/>
      <c r="AL31" s="43"/>
      <c r="AM31" s="43"/>
      <c r="AN31" s="43"/>
      <c r="AO31" s="43"/>
      <c r="AP31" s="43"/>
      <c r="AQ31" s="44"/>
      <c r="AR31" s="43"/>
      <c r="AS31" s="43"/>
      <c r="AT31" s="43"/>
      <c r="AU31" s="43"/>
      <c r="AV31" s="43"/>
      <c r="AW31" s="43"/>
      <c r="AX31" s="43"/>
      <c r="AY31" s="45"/>
      <c r="AZ31" s="28"/>
      <c r="BA31" s="28"/>
      <c r="BB31" s="34"/>
      <c r="BC31" s="28"/>
      <c r="BD31" s="13"/>
      <c r="BE31" s="15"/>
      <c r="BF31" s="15"/>
      <c r="BG31" s="15"/>
      <c r="BH31" s="14"/>
      <c r="BI31" s="13"/>
      <c r="BJ31" s="15"/>
      <c r="BK31" s="15"/>
      <c r="BL31" s="15"/>
      <c r="BM31" s="15"/>
      <c r="BN31" s="16"/>
      <c r="BO31" s="17"/>
      <c r="BP31" s="66" t="str">
        <f t="shared" si="9"/>
        <v/>
      </c>
      <c r="BQ31" s="88">
        <f t="shared" si="10"/>
        <v>0</v>
      </c>
      <c r="BR31" s="88">
        <f t="shared" si="11"/>
        <v>0</v>
      </c>
      <c r="BS31" s="88">
        <f t="shared" si="12"/>
        <v>1</v>
      </c>
      <c r="BT31" s="88">
        <f t="shared" si="13"/>
        <v>1</v>
      </c>
      <c r="BU31" s="88">
        <f t="shared" si="14"/>
        <v>1</v>
      </c>
      <c r="BV31" s="88">
        <f t="shared" si="15"/>
        <v>1</v>
      </c>
      <c r="BW31" s="88">
        <f t="shared" si="16"/>
        <v>1</v>
      </c>
      <c r="BX31" s="88">
        <f t="shared" si="17"/>
        <v>1</v>
      </c>
      <c r="BY31" s="88">
        <f t="shared" si="18"/>
        <v>1</v>
      </c>
      <c r="BZ31" s="88">
        <f t="shared" si="19"/>
        <v>1</v>
      </c>
      <c r="CA31" s="88">
        <f t="shared" si="20"/>
        <v>8</v>
      </c>
      <c r="CB31" s="5"/>
      <c r="CC31" s="89" t="str">
        <f t="shared" si="21"/>
        <v/>
      </c>
      <c r="CD31" s="64" t="str">
        <f t="shared" si="22"/>
        <v/>
      </c>
      <c r="CE31" s="64" t="str">
        <f t="shared" si="23"/>
        <v/>
      </c>
      <c r="CF31" s="64" t="str">
        <f t="shared" si="24"/>
        <v/>
      </c>
      <c r="CG31" s="64" t="str">
        <f t="shared" si="25"/>
        <v/>
      </c>
      <c r="CH31" s="64" t="str">
        <f t="shared" si="26"/>
        <v/>
      </c>
      <c r="CI31" s="64" t="str">
        <f t="shared" si="27"/>
        <v/>
      </c>
    </row>
    <row r="32" spans="1:87" s="18" customFormat="1" ht="23.45" customHeight="1">
      <c r="A32" s="60">
        <v>24</v>
      </c>
      <c r="B32" s="27"/>
      <c r="C32" s="28"/>
      <c r="D32" s="28"/>
      <c r="E32" s="29"/>
      <c r="F32" s="41"/>
      <c r="G32" s="43"/>
      <c r="H32" s="43"/>
      <c r="I32" s="43"/>
      <c r="J32" s="41"/>
      <c r="K32" s="42"/>
      <c r="L32" s="43"/>
      <c r="M32" s="43"/>
      <c r="N32" s="43"/>
      <c r="O32" s="43"/>
      <c r="P32" s="42"/>
      <c r="Q32" s="42"/>
      <c r="R32" s="42"/>
      <c r="S32" s="42"/>
      <c r="T32" s="42"/>
      <c r="U32" s="42"/>
      <c r="V32" s="42"/>
      <c r="W32" s="42"/>
      <c r="X32" s="42"/>
      <c r="Y32" s="42"/>
      <c r="Z32" s="42"/>
      <c r="AA32" s="42"/>
      <c r="AB32" s="43"/>
      <c r="AC32" s="43"/>
      <c r="AD32" s="43"/>
      <c r="AE32" s="43"/>
      <c r="AF32" s="43"/>
      <c r="AG32" s="43"/>
      <c r="AH32" s="43"/>
      <c r="AI32" s="43"/>
      <c r="AJ32" s="43"/>
      <c r="AK32" s="43"/>
      <c r="AL32" s="43"/>
      <c r="AM32" s="43"/>
      <c r="AN32" s="43"/>
      <c r="AO32" s="43"/>
      <c r="AP32" s="43"/>
      <c r="AQ32" s="44"/>
      <c r="AR32" s="43"/>
      <c r="AS32" s="43"/>
      <c r="AT32" s="43"/>
      <c r="AU32" s="43"/>
      <c r="AV32" s="43"/>
      <c r="AW32" s="43"/>
      <c r="AX32" s="43"/>
      <c r="AY32" s="45"/>
      <c r="AZ32" s="28"/>
      <c r="BA32" s="28"/>
      <c r="BB32" s="34"/>
      <c r="BC32" s="28"/>
      <c r="BD32" s="13"/>
      <c r="BE32" s="15"/>
      <c r="BF32" s="15"/>
      <c r="BG32" s="15"/>
      <c r="BH32" s="14"/>
      <c r="BI32" s="13"/>
      <c r="BJ32" s="15"/>
      <c r="BK32" s="15"/>
      <c r="BL32" s="15"/>
      <c r="BM32" s="15"/>
      <c r="BN32" s="16"/>
      <c r="BO32" s="17"/>
      <c r="BP32" s="66" t="str">
        <f t="shared" si="9"/>
        <v/>
      </c>
      <c r="BQ32" s="88">
        <f t="shared" si="10"/>
        <v>0</v>
      </c>
      <c r="BR32" s="88">
        <f t="shared" si="11"/>
        <v>0</v>
      </c>
      <c r="BS32" s="88">
        <f t="shared" si="12"/>
        <v>1</v>
      </c>
      <c r="BT32" s="88">
        <f t="shared" si="13"/>
        <v>1</v>
      </c>
      <c r="BU32" s="88">
        <f t="shared" si="14"/>
        <v>1</v>
      </c>
      <c r="BV32" s="88">
        <f t="shared" si="15"/>
        <v>1</v>
      </c>
      <c r="BW32" s="88">
        <f t="shared" si="16"/>
        <v>1</v>
      </c>
      <c r="BX32" s="88">
        <f t="shared" si="17"/>
        <v>1</v>
      </c>
      <c r="BY32" s="88">
        <f t="shared" si="18"/>
        <v>1</v>
      </c>
      <c r="BZ32" s="88">
        <f t="shared" si="19"/>
        <v>1</v>
      </c>
      <c r="CA32" s="88">
        <f t="shared" si="20"/>
        <v>8</v>
      </c>
      <c r="CB32" s="5"/>
      <c r="CC32" s="89" t="str">
        <f t="shared" si="21"/>
        <v/>
      </c>
      <c r="CD32" s="64" t="str">
        <f t="shared" si="22"/>
        <v/>
      </c>
      <c r="CE32" s="64" t="str">
        <f t="shared" si="23"/>
        <v/>
      </c>
      <c r="CF32" s="64" t="str">
        <f t="shared" si="24"/>
        <v/>
      </c>
      <c r="CG32" s="64" t="str">
        <f t="shared" si="25"/>
        <v/>
      </c>
      <c r="CH32" s="64" t="str">
        <f t="shared" si="26"/>
        <v/>
      </c>
      <c r="CI32" s="64" t="str">
        <f t="shared" si="27"/>
        <v/>
      </c>
    </row>
    <row r="33" spans="1:124" s="18" customFormat="1" ht="23.45" customHeight="1">
      <c r="A33" s="60">
        <v>25</v>
      </c>
      <c r="B33" s="27"/>
      <c r="C33" s="28"/>
      <c r="D33" s="28"/>
      <c r="E33" s="29"/>
      <c r="F33" s="41"/>
      <c r="G33" s="43"/>
      <c r="H33" s="43"/>
      <c r="I33" s="43"/>
      <c r="J33" s="41"/>
      <c r="K33" s="42"/>
      <c r="L33" s="43"/>
      <c r="M33" s="43"/>
      <c r="N33" s="43"/>
      <c r="O33" s="43"/>
      <c r="P33" s="42"/>
      <c r="Q33" s="42"/>
      <c r="R33" s="42"/>
      <c r="S33" s="42"/>
      <c r="T33" s="42"/>
      <c r="U33" s="42"/>
      <c r="V33" s="42"/>
      <c r="W33" s="42"/>
      <c r="X33" s="42"/>
      <c r="Y33" s="42"/>
      <c r="Z33" s="42"/>
      <c r="AA33" s="42"/>
      <c r="AB33" s="43"/>
      <c r="AC33" s="43"/>
      <c r="AD33" s="43"/>
      <c r="AE33" s="43"/>
      <c r="AF33" s="43"/>
      <c r="AG33" s="43"/>
      <c r="AH33" s="43"/>
      <c r="AI33" s="43"/>
      <c r="AJ33" s="43"/>
      <c r="AK33" s="43"/>
      <c r="AL33" s="43"/>
      <c r="AM33" s="43"/>
      <c r="AN33" s="43"/>
      <c r="AO33" s="43"/>
      <c r="AP33" s="43"/>
      <c r="AQ33" s="44"/>
      <c r="AR33" s="43"/>
      <c r="AS33" s="43"/>
      <c r="AT33" s="43"/>
      <c r="AU33" s="43"/>
      <c r="AV33" s="43"/>
      <c r="AW33" s="43"/>
      <c r="AX33" s="43"/>
      <c r="AY33" s="45"/>
      <c r="AZ33" s="28"/>
      <c r="BA33" s="28"/>
      <c r="BB33" s="34"/>
      <c r="BC33" s="28"/>
      <c r="BD33" s="13"/>
      <c r="BE33" s="15"/>
      <c r="BF33" s="15"/>
      <c r="BG33" s="15"/>
      <c r="BH33" s="14"/>
      <c r="BI33" s="13"/>
      <c r="BJ33" s="15"/>
      <c r="BK33" s="15"/>
      <c r="BL33" s="15"/>
      <c r="BM33" s="15"/>
      <c r="BN33" s="16"/>
      <c r="BO33" s="17"/>
      <c r="BP33" s="66" t="str">
        <f t="shared" si="9"/>
        <v/>
      </c>
      <c r="BQ33" s="88">
        <f t="shared" si="10"/>
        <v>0</v>
      </c>
      <c r="BR33" s="88">
        <f t="shared" si="11"/>
        <v>0</v>
      </c>
      <c r="BS33" s="88">
        <f t="shared" si="12"/>
        <v>1</v>
      </c>
      <c r="BT33" s="88">
        <f t="shared" si="13"/>
        <v>1</v>
      </c>
      <c r="BU33" s="88">
        <f t="shared" si="14"/>
        <v>1</v>
      </c>
      <c r="BV33" s="88">
        <f t="shared" si="15"/>
        <v>1</v>
      </c>
      <c r="BW33" s="88">
        <f t="shared" si="16"/>
        <v>1</v>
      </c>
      <c r="BX33" s="88">
        <f t="shared" si="17"/>
        <v>1</v>
      </c>
      <c r="BY33" s="88">
        <f t="shared" si="18"/>
        <v>1</v>
      </c>
      <c r="BZ33" s="88">
        <f t="shared" si="19"/>
        <v>1</v>
      </c>
      <c r="CA33" s="88">
        <f t="shared" si="20"/>
        <v>8</v>
      </c>
      <c r="CB33" s="5"/>
      <c r="CC33" s="89" t="str">
        <f t="shared" si="21"/>
        <v/>
      </c>
      <c r="CD33" s="64" t="str">
        <f t="shared" si="22"/>
        <v/>
      </c>
      <c r="CE33" s="64" t="str">
        <f t="shared" si="23"/>
        <v/>
      </c>
      <c r="CF33" s="64" t="str">
        <f t="shared" si="24"/>
        <v/>
      </c>
      <c r="CG33" s="64" t="str">
        <f t="shared" si="25"/>
        <v/>
      </c>
      <c r="CH33" s="64" t="str">
        <f t="shared" si="26"/>
        <v/>
      </c>
      <c r="CI33" s="64" t="str">
        <f t="shared" si="27"/>
        <v/>
      </c>
    </row>
    <row r="34" spans="1:124" s="18" customFormat="1" ht="23.45" customHeight="1">
      <c r="A34" s="60">
        <v>26</v>
      </c>
      <c r="B34" s="27"/>
      <c r="C34" s="28"/>
      <c r="D34" s="28"/>
      <c r="E34" s="29"/>
      <c r="F34" s="41"/>
      <c r="G34" s="43"/>
      <c r="H34" s="43"/>
      <c r="I34" s="43"/>
      <c r="J34" s="41"/>
      <c r="K34" s="42"/>
      <c r="L34" s="43"/>
      <c r="M34" s="43"/>
      <c r="N34" s="43"/>
      <c r="O34" s="43"/>
      <c r="P34" s="42"/>
      <c r="Q34" s="42"/>
      <c r="R34" s="42"/>
      <c r="S34" s="42"/>
      <c r="T34" s="42"/>
      <c r="U34" s="42"/>
      <c r="V34" s="42"/>
      <c r="W34" s="42"/>
      <c r="X34" s="42"/>
      <c r="Y34" s="42"/>
      <c r="Z34" s="42"/>
      <c r="AA34" s="42"/>
      <c r="AB34" s="43"/>
      <c r="AC34" s="43"/>
      <c r="AD34" s="43"/>
      <c r="AE34" s="43"/>
      <c r="AF34" s="43"/>
      <c r="AG34" s="43"/>
      <c r="AH34" s="43"/>
      <c r="AI34" s="43"/>
      <c r="AJ34" s="43"/>
      <c r="AK34" s="43"/>
      <c r="AL34" s="43"/>
      <c r="AM34" s="43"/>
      <c r="AN34" s="43"/>
      <c r="AO34" s="43"/>
      <c r="AP34" s="43"/>
      <c r="AQ34" s="44"/>
      <c r="AR34" s="43"/>
      <c r="AS34" s="43"/>
      <c r="AT34" s="43"/>
      <c r="AU34" s="43"/>
      <c r="AV34" s="43"/>
      <c r="AW34" s="43"/>
      <c r="AX34" s="43"/>
      <c r="AY34" s="45"/>
      <c r="AZ34" s="28"/>
      <c r="BA34" s="28"/>
      <c r="BB34" s="34"/>
      <c r="BC34" s="28"/>
      <c r="BD34" s="13"/>
      <c r="BE34" s="15"/>
      <c r="BF34" s="15"/>
      <c r="BG34" s="15"/>
      <c r="BH34" s="14"/>
      <c r="BI34" s="13"/>
      <c r="BJ34" s="15"/>
      <c r="BK34" s="15"/>
      <c r="BL34" s="15"/>
      <c r="BM34" s="15"/>
      <c r="BN34" s="16"/>
      <c r="BO34" s="17"/>
      <c r="BP34" s="66" t="str">
        <f t="shared" si="9"/>
        <v/>
      </c>
      <c r="BQ34" s="88">
        <f t="shared" si="10"/>
        <v>0</v>
      </c>
      <c r="BR34" s="88">
        <f t="shared" si="11"/>
        <v>0</v>
      </c>
      <c r="BS34" s="88">
        <f t="shared" si="12"/>
        <v>1</v>
      </c>
      <c r="BT34" s="88">
        <f t="shared" si="13"/>
        <v>1</v>
      </c>
      <c r="BU34" s="88">
        <f t="shared" si="14"/>
        <v>1</v>
      </c>
      <c r="BV34" s="88">
        <f t="shared" si="15"/>
        <v>1</v>
      </c>
      <c r="BW34" s="88">
        <f t="shared" si="16"/>
        <v>1</v>
      </c>
      <c r="BX34" s="88">
        <f t="shared" si="17"/>
        <v>1</v>
      </c>
      <c r="BY34" s="88">
        <f t="shared" si="18"/>
        <v>1</v>
      </c>
      <c r="BZ34" s="88">
        <f t="shared" si="19"/>
        <v>1</v>
      </c>
      <c r="CA34" s="88">
        <f t="shared" si="20"/>
        <v>8</v>
      </c>
      <c r="CB34" s="5"/>
      <c r="CC34" s="89" t="str">
        <f t="shared" si="21"/>
        <v/>
      </c>
      <c r="CD34" s="64" t="str">
        <f t="shared" si="22"/>
        <v/>
      </c>
      <c r="CE34" s="64" t="str">
        <f t="shared" si="23"/>
        <v/>
      </c>
      <c r="CF34" s="64" t="str">
        <f t="shared" si="24"/>
        <v/>
      </c>
      <c r="CG34" s="64" t="str">
        <f t="shared" si="25"/>
        <v/>
      </c>
      <c r="CH34" s="64" t="str">
        <f t="shared" si="26"/>
        <v/>
      </c>
      <c r="CI34" s="64" t="str">
        <f t="shared" si="27"/>
        <v/>
      </c>
    </row>
    <row r="35" spans="1:124" s="18" customFormat="1" ht="23.45" customHeight="1">
      <c r="A35" s="60">
        <v>27</v>
      </c>
      <c r="B35" s="27"/>
      <c r="C35" s="28"/>
      <c r="D35" s="28"/>
      <c r="E35" s="29"/>
      <c r="F35" s="41"/>
      <c r="G35" s="43"/>
      <c r="H35" s="43"/>
      <c r="I35" s="43"/>
      <c r="J35" s="41"/>
      <c r="K35" s="42"/>
      <c r="L35" s="43"/>
      <c r="M35" s="43"/>
      <c r="N35" s="43"/>
      <c r="O35" s="43"/>
      <c r="P35" s="42"/>
      <c r="Q35" s="42"/>
      <c r="R35" s="42"/>
      <c r="S35" s="42"/>
      <c r="T35" s="42"/>
      <c r="U35" s="42"/>
      <c r="V35" s="42"/>
      <c r="W35" s="42"/>
      <c r="X35" s="42"/>
      <c r="Y35" s="42"/>
      <c r="Z35" s="42"/>
      <c r="AA35" s="42"/>
      <c r="AB35" s="43"/>
      <c r="AC35" s="43"/>
      <c r="AD35" s="43"/>
      <c r="AE35" s="43"/>
      <c r="AF35" s="43"/>
      <c r="AG35" s="43"/>
      <c r="AH35" s="43"/>
      <c r="AI35" s="43"/>
      <c r="AJ35" s="43"/>
      <c r="AK35" s="43"/>
      <c r="AL35" s="43"/>
      <c r="AM35" s="43"/>
      <c r="AN35" s="43"/>
      <c r="AO35" s="43"/>
      <c r="AP35" s="43"/>
      <c r="AQ35" s="44"/>
      <c r="AR35" s="43"/>
      <c r="AS35" s="43"/>
      <c r="AT35" s="43"/>
      <c r="AU35" s="43"/>
      <c r="AV35" s="43"/>
      <c r="AW35" s="43"/>
      <c r="AX35" s="43"/>
      <c r="AY35" s="45"/>
      <c r="AZ35" s="28"/>
      <c r="BA35" s="28"/>
      <c r="BB35" s="34"/>
      <c r="BC35" s="28"/>
      <c r="BD35" s="13"/>
      <c r="BE35" s="15"/>
      <c r="BF35" s="15"/>
      <c r="BG35" s="15"/>
      <c r="BH35" s="14"/>
      <c r="BI35" s="13"/>
      <c r="BJ35" s="15"/>
      <c r="BK35" s="15"/>
      <c r="BL35" s="15"/>
      <c r="BM35" s="15"/>
      <c r="BN35" s="16"/>
      <c r="BO35" s="17"/>
      <c r="BP35" s="66" t="str">
        <f t="shared" si="9"/>
        <v/>
      </c>
      <c r="BQ35" s="88">
        <f t="shared" si="10"/>
        <v>0</v>
      </c>
      <c r="BR35" s="88">
        <f t="shared" si="11"/>
        <v>0</v>
      </c>
      <c r="BS35" s="88">
        <f t="shared" si="12"/>
        <v>1</v>
      </c>
      <c r="BT35" s="88">
        <f t="shared" si="13"/>
        <v>1</v>
      </c>
      <c r="BU35" s="88">
        <f t="shared" si="14"/>
        <v>1</v>
      </c>
      <c r="BV35" s="88">
        <f t="shared" si="15"/>
        <v>1</v>
      </c>
      <c r="BW35" s="88">
        <f t="shared" si="16"/>
        <v>1</v>
      </c>
      <c r="BX35" s="88">
        <f t="shared" si="17"/>
        <v>1</v>
      </c>
      <c r="BY35" s="88">
        <f t="shared" si="18"/>
        <v>1</v>
      </c>
      <c r="BZ35" s="88">
        <f t="shared" si="19"/>
        <v>1</v>
      </c>
      <c r="CA35" s="88">
        <f t="shared" si="20"/>
        <v>8</v>
      </c>
      <c r="CB35" s="5"/>
      <c r="CC35" s="89" t="str">
        <f t="shared" si="21"/>
        <v/>
      </c>
      <c r="CD35" s="64" t="str">
        <f t="shared" si="22"/>
        <v/>
      </c>
      <c r="CE35" s="64" t="str">
        <f t="shared" si="23"/>
        <v/>
      </c>
      <c r="CF35" s="64" t="str">
        <f t="shared" si="24"/>
        <v/>
      </c>
      <c r="CG35" s="64" t="str">
        <f t="shared" si="25"/>
        <v/>
      </c>
      <c r="CH35" s="64" t="str">
        <f t="shared" si="26"/>
        <v/>
      </c>
      <c r="CI35" s="64" t="str">
        <f t="shared" si="27"/>
        <v/>
      </c>
    </row>
    <row r="36" spans="1:124" s="18" customFormat="1" ht="23.45" customHeight="1">
      <c r="A36" s="60">
        <v>28</v>
      </c>
      <c r="B36" s="27"/>
      <c r="C36" s="28"/>
      <c r="D36" s="28"/>
      <c r="E36" s="29"/>
      <c r="F36" s="41"/>
      <c r="G36" s="43"/>
      <c r="H36" s="43"/>
      <c r="I36" s="43"/>
      <c r="J36" s="41"/>
      <c r="K36" s="42"/>
      <c r="L36" s="43"/>
      <c r="M36" s="43"/>
      <c r="N36" s="43"/>
      <c r="O36" s="43"/>
      <c r="P36" s="42"/>
      <c r="Q36" s="42"/>
      <c r="R36" s="42"/>
      <c r="S36" s="42"/>
      <c r="T36" s="42"/>
      <c r="U36" s="42"/>
      <c r="V36" s="42"/>
      <c r="W36" s="42"/>
      <c r="X36" s="42"/>
      <c r="Y36" s="42"/>
      <c r="Z36" s="42"/>
      <c r="AA36" s="42"/>
      <c r="AB36" s="43"/>
      <c r="AC36" s="43"/>
      <c r="AD36" s="43"/>
      <c r="AE36" s="43"/>
      <c r="AF36" s="43"/>
      <c r="AG36" s="43"/>
      <c r="AH36" s="43"/>
      <c r="AI36" s="43"/>
      <c r="AJ36" s="43"/>
      <c r="AK36" s="43"/>
      <c r="AL36" s="43"/>
      <c r="AM36" s="43"/>
      <c r="AN36" s="43"/>
      <c r="AO36" s="43"/>
      <c r="AP36" s="43"/>
      <c r="AQ36" s="44"/>
      <c r="AR36" s="43"/>
      <c r="AS36" s="43"/>
      <c r="AT36" s="43"/>
      <c r="AU36" s="43"/>
      <c r="AV36" s="43"/>
      <c r="AW36" s="43"/>
      <c r="AX36" s="43"/>
      <c r="AY36" s="45"/>
      <c r="AZ36" s="28"/>
      <c r="BA36" s="28"/>
      <c r="BB36" s="34"/>
      <c r="BC36" s="28"/>
      <c r="BD36" s="13"/>
      <c r="BE36" s="15"/>
      <c r="BF36" s="15"/>
      <c r="BG36" s="15"/>
      <c r="BH36" s="14"/>
      <c r="BI36" s="13"/>
      <c r="BJ36" s="15"/>
      <c r="BK36" s="15"/>
      <c r="BL36" s="15"/>
      <c r="BM36" s="15"/>
      <c r="BN36" s="16"/>
      <c r="BO36" s="17"/>
      <c r="BP36" s="66" t="str">
        <f t="shared" si="9"/>
        <v/>
      </c>
      <c r="BQ36" s="88">
        <f t="shared" si="10"/>
        <v>0</v>
      </c>
      <c r="BR36" s="88">
        <f t="shared" si="11"/>
        <v>0</v>
      </c>
      <c r="BS36" s="88">
        <f t="shared" si="12"/>
        <v>1</v>
      </c>
      <c r="BT36" s="88">
        <f t="shared" si="13"/>
        <v>1</v>
      </c>
      <c r="BU36" s="88">
        <f t="shared" si="14"/>
        <v>1</v>
      </c>
      <c r="BV36" s="88">
        <f t="shared" si="15"/>
        <v>1</v>
      </c>
      <c r="BW36" s="88">
        <f t="shared" si="16"/>
        <v>1</v>
      </c>
      <c r="BX36" s="88">
        <f t="shared" si="17"/>
        <v>1</v>
      </c>
      <c r="BY36" s="88">
        <f t="shared" si="18"/>
        <v>1</v>
      </c>
      <c r="BZ36" s="88">
        <f t="shared" si="19"/>
        <v>1</v>
      </c>
      <c r="CA36" s="88">
        <f t="shared" si="20"/>
        <v>8</v>
      </c>
      <c r="CB36" s="5"/>
      <c r="CC36" s="89" t="str">
        <f t="shared" si="21"/>
        <v/>
      </c>
      <c r="CD36" s="64" t="str">
        <f t="shared" si="22"/>
        <v/>
      </c>
      <c r="CE36" s="64" t="str">
        <f t="shared" si="23"/>
        <v/>
      </c>
      <c r="CF36" s="64" t="str">
        <f t="shared" si="24"/>
        <v/>
      </c>
      <c r="CG36" s="64" t="str">
        <f t="shared" si="25"/>
        <v/>
      </c>
      <c r="CH36" s="64" t="str">
        <f t="shared" si="26"/>
        <v/>
      </c>
      <c r="CI36" s="64" t="str">
        <f t="shared" si="27"/>
        <v/>
      </c>
    </row>
    <row r="37" spans="1:124" s="18" customFormat="1" ht="23.45" customHeight="1">
      <c r="A37" s="60">
        <v>29</v>
      </c>
      <c r="B37" s="27"/>
      <c r="C37" s="28"/>
      <c r="D37" s="28"/>
      <c r="E37" s="29"/>
      <c r="F37" s="41"/>
      <c r="G37" s="43"/>
      <c r="H37" s="43"/>
      <c r="I37" s="43"/>
      <c r="J37" s="41"/>
      <c r="K37" s="42"/>
      <c r="L37" s="43"/>
      <c r="M37" s="43"/>
      <c r="N37" s="43"/>
      <c r="O37" s="43"/>
      <c r="P37" s="42"/>
      <c r="Q37" s="42"/>
      <c r="R37" s="42"/>
      <c r="S37" s="42"/>
      <c r="T37" s="42"/>
      <c r="U37" s="42"/>
      <c r="V37" s="42"/>
      <c r="W37" s="42"/>
      <c r="X37" s="42"/>
      <c r="Y37" s="42"/>
      <c r="Z37" s="42"/>
      <c r="AA37" s="42"/>
      <c r="AB37" s="43"/>
      <c r="AC37" s="43"/>
      <c r="AD37" s="43"/>
      <c r="AE37" s="43"/>
      <c r="AF37" s="43"/>
      <c r="AG37" s="43"/>
      <c r="AH37" s="43"/>
      <c r="AI37" s="43"/>
      <c r="AJ37" s="43"/>
      <c r="AK37" s="43"/>
      <c r="AL37" s="43"/>
      <c r="AM37" s="43"/>
      <c r="AN37" s="43"/>
      <c r="AO37" s="43"/>
      <c r="AP37" s="43"/>
      <c r="AQ37" s="44"/>
      <c r="AR37" s="43"/>
      <c r="AS37" s="43"/>
      <c r="AT37" s="43"/>
      <c r="AU37" s="43"/>
      <c r="AV37" s="43"/>
      <c r="AW37" s="43"/>
      <c r="AX37" s="43"/>
      <c r="AY37" s="45"/>
      <c r="AZ37" s="28"/>
      <c r="BA37" s="28"/>
      <c r="BB37" s="34"/>
      <c r="BC37" s="28"/>
      <c r="BD37" s="13"/>
      <c r="BE37" s="15"/>
      <c r="BF37" s="15"/>
      <c r="BG37" s="15"/>
      <c r="BH37" s="14"/>
      <c r="BI37" s="13"/>
      <c r="BJ37" s="15"/>
      <c r="BK37" s="15"/>
      <c r="BL37" s="15"/>
      <c r="BM37" s="15"/>
      <c r="BN37" s="16"/>
      <c r="BO37" s="17"/>
      <c r="BP37" s="66" t="str">
        <f t="shared" si="9"/>
        <v/>
      </c>
      <c r="BQ37" s="88">
        <f t="shared" si="10"/>
        <v>0</v>
      </c>
      <c r="BR37" s="88">
        <f t="shared" si="11"/>
        <v>0</v>
      </c>
      <c r="BS37" s="88">
        <f t="shared" si="12"/>
        <v>1</v>
      </c>
      <c r="BT37" s="88">
        <f t="shared" si="13"/>
        <v>1</v>
      </c>
      <c r="BU37" s="88">
        <f t="shared" si="14"/>
        <v>1</v>
      </c>
      <c r="BV37" s="88">
        <f t="shared" si="15"/>
        <v>1</v>
      </c>
      <c r="BW37" s="88">
        <f t="shared" si="16"/>
        <v>1</v>
      </c>
      <c r="BX37" s="88">
        <f t="shared" si="17"/>
        <v>1</v>
      </c>
      <c r="BY37" s="88">
        <f t="shared" si="18"/>
        <v>1</v>
      </c>
      <c r="BZ37" s="88">
        <f t="shared" si="19"/>
        <v>1</v>
      </c>
      <c r="CA37" s="88">
        <f t="shared" si="20"/>
        <v>8</v>
      </c>
      <c r="CB37" s="5"/>
      <c r="CC37" s="89" t="str">
        <f t="shared" si="21"/>
        <v/>
      </c>
      <c r="CD37" s="64" t="str">
        <f t="shared" si="22"/>
        <v/>
      </c>
      <c r="CE37" s="64" t="str">
        <f t="shared" si="23"/>
        <v/>
      </c>
      <c r="CF37" s="64" t="str">
        <f t="shared" si="24"/>
        <v/>
      </c>
      <c r="CG37" s="64" t="str">
        <f t="shared" si="25"/>
        <v/>
      </c>
      <c r="CH37" s="64" t="str">
        <f t="shared" si="26"/>
        <v/>
      </c>
      <c r="CI37" s="64" t="str">
        <f t="shared" si="27"/>
        <v/>
      </c>
    </row>
    <row r="38" spans="1:124" s="18" customFormat="1" ht="23.45" customHeight="1" thickBot="1">
      <c r="A38" s="61">
        <v>30</v>
      </c>
      <c r="B38" s="30"/>
      <c r="C38" s="111"/>
      <c r="D38" s="31"/>
      <c r="E38" s="32"/>
      <c r="F38" s="46"/>
      <c r="G38" s="48"/>
      <c r="H38" s="48"/>
      <c r="I38" s="48"/>
      <c r="J38" s="46"/>
      <c r="K38" s="47"/>
      <c r="L38" s="48"/>
      <c r="M38" s="48"/>
      <c r="N38" s="48"/>
      <c r="O38" s="48"/>
      <c r="P38" s="47"/>
      <c r="Q38" s="47"/>
      <c r="R38" s="47"/>
      <c r="S38" s="47"/>
      <c r="T38" s="47"/>
      <c r="U38" s="47"/>
      <c r="V38" s="47"/>
      <c r="W38" s="47"/>
      <c r="X38" s="47"/>
      <c r="Y38" s="47"/>
      <c r="Z38" s="47"/>
      <c r="AA38" s="47"/>
      <c r="AB38" s="48"/>
      <c r="AC38" s="48"/>
      <c r="AD38" s="48"/>
      <c r="AE38" s="48"/>
      <c r="AF38" s="48"/>
      <c r="AG38" s="48"/>
      <c r="AH38" s="48"/>
      <c r="AI38" s="48"/>
      <c r="AJ38" s="48"/>
      <c r="AK38" s="48"/>
      <c r="AL38" s="48"/>
      <c r="AM38" s="48"/>
      <c r="AN38" s="48"/>
      <c r="AO38" s="48"/>
      <c r="AP38" s="48"/>
      <c r="AQ38" s="49"/>
      <c r="AR38" s="48"/>
      <c r="AS38" s="48"/>
      <c r="AT38" s="48"/>
      <c r="AU38" s="48"/>
      <c r="AV38" s="48"/>
      <c r="AW38" s="48"/>
      <c r="AX38" s="48"/>
      <c r="AY38" s="50"/>
      <c r="AZ38" s="31"/>
      <c r="BA38" s="31"/>
      <c r="BB38" s="35"/>
      <c r="BC38" s="31"/>
      <c r="BD38" s="19"/>
      <c r="BE38" s="21"/>
      <c r="BF38" s="21"/>
      <c r="BG38" s="21"/>
      <c r="BH38" s="20"/>
      <c r="BI38" s="19"/>
      <c r="BJ38" s="21"/>
      <c r="BK38" s="21"/>
      <c r="BL38" s="21"/>
      <c r="BM38" s="21"/>
      <c r="BN38" s="22"/>
      <c r="BO38" s="23"/>
      <c r="BP38" s="66" t="str">
        <f t="shared" si="9"/>
        <v/>
      </c>
      <c r="BQ38" s="88">
        <f t="shared" si="10"/>
        <v>0</v>
      </c>
      <c r="BR38" s="88">
        <f t="shared" si="11"/>
        <v>0</v>
      </c>
      <c r="BS38" s="88">
        <f t="shared" si="12"/>
        <v>1</v>
      </c>
      <c r="BT38" s="88">
        <f t="shared" si="13"/>
        <v>1</v>
      </c>
      <c r="BU38" s="88">
        <f t="shared" si="14"/>
        <v>1</v>
      </c>
      <c r="BV38" s="88">
        <f t="shared" si="15"/>
        <v>1</v>
      </c>
      <c r="BW38" s="88">
        <f t="shared" si="16"/>
        <v>1</v>
      </c>
      <c r="BX38" s="88">
        <f t="shared" si="17"/>
        <v>1</v>
      </c>
      <c r="BY38" s="88">
        <f t="shared" si="18"/>
        <v>1</v>
      </c>
      <c r="BZ38" s="88">
        <f t="shared" si="19"/>
        <v>1</v>
      </c>
      <c r="CA38" s="88">
        <f t="shared" si="20"/>
        <v>8</v>
      </c>
      <c r="CB38" s="5"/>
      <c r="CC38" s="89" t="str">
        <f t="shared" si="21"/>
        <v/>
      </c>
      <c r="CD38" s="64" t="str">
        <f t="shared" si="22"/>
        <v/>
      </c>
      <c r="CE38" s="64" t="str">
        <f t="shared" si="23"/>
        <v/>
      </c>
      <c r="CF38" s="64" t="str">
        <f t="shared" si="24"/>
        <v/>
      </c>
      <c r="CG38" s="64" t="str">
        <f t="shared" si="25"/>
        <v/>
      </c>
      <c r="CH38" s="64" t="str">
        <f t="shared" si="26"/>
        <v/>
      </c>
      <c r="CI38" s="64" t="str">
        <f t="shared" si="27"/>
        <v/>
      </c>
    </row>
    <row r="39" spans="1:124">
      <c r="A39" s="5" t="s">
        <v>38</v>
      </c>
    </row>
    <row r="40" spans="1:124">
      <c r="A40" s="5" t="s">
        <v>39</v>
      </c>
    </row>
    <row r="41" spans="1:124">
      <c r="A41" s="5" t="s">
        <v>171</v>
      </c>
      <c r="BQ41" s="138" t="s">
        <v>160</v>
      </c>
      <c r="BR41" s="138"/>
      <c r="BS41" s="138"/>
      <c r="BT41" s="138"/>
    </row>
    <row r="42" spans="1:124">
      <c r="A42" s="5" t="s">
        <v>40</v>
      </c>
      <c r="BQ42" s="139"/>
      <c r="BR42" s="139"/>
      <c r="BS42" s="139"/>
      <c r="BT42" s="139"/>
      <c r="BU42" s="79"/>
      <c r="BV42" s="79"/>
      <c r="BW42" s="79"/>
      <c r="BX42" s="80"/>
      <c r="BY42" s="79"/>
      <c r="BZ42" s="79"/>
      <c r="CA42" s="79"/>
      <c r="CB42" s="79"/>
      <c r="CC42" s="79"/>
      <c r="CD42" s="80"/>
      <c r="CE42" s="79"/>
      <c r="CF42" s="79"/>
      <c r="CG42" s="79"/>
      <c r="CH42" s="79"/>
      <c r="CI42" s="79"/>
      <c r="CJ42" s="79"/>
      <c r="CK42" s="79"/>
      <c r="CL42" s="79"/>
      <c r="CM42" s="79"/>
      <c r="CN42" s="79"/>
      <c r="CO42" s="79"/>
      <c r="CP42" s="79"/>
      <c r="CQ42" s="79"/>
      <c r="CR42" s="79"/>
      <c r="CS42" s="79"/>
      <c r="CT42" s="79"/>
      <c r="CU42" s="79"/>
      <c r="CV42" s="79"/>
      <c r="CW42" s="79"/>
      <c r="CX42" s="79"/>
      <c r="CY42" s="79"/>
      <c r="CZ42" s="80"/>
      <c r="DA42" s="79"/>
      <c r="DB42" s="79"/>
      <c r="DC42" s="79"/>
      <c r="DD42" s="79"/>
      <c r="DE42" s="79"/>
      <c r="DF42" s="79"/>
      <c r="DG42" s="79"/>
      <c r="DH42" s="79"/>
      <c r="DI42" s="79"/>
      <c r="DJ42" s="79"/>
      <c r="DK42" s="79"/>
      <c r="DL42" s="79"/>
      <c r="DM42" s="79"/>
      <c r="DN42" s="79"/>
      <c r="DO42" s="79"/>
      <c r="DP42" s="79"/>
      <c r="DQ42" s="80"/>
      <c r="DR42" s="79"/>
      <c r="DS42" s="79"/>
      <c r="DT42" s="79"/>
    </row>
    <row r="43" spans="1:124">
      <c r="BQ43" s="75"/>
      <c r="BR43" s="125" t="s">
        <v>98</v>
      </c>
      <c r="BS43" s="125" t="s">
        <v>99</v>
      </c>
      <c r="BT43" s="131" t="s">
        <v>80</v>
      </c>
      <c r="BU43" s="132"/>
      <c r="BV43" s="132"/>
      <c r="BW43" s="132"/>
      <c r="BX43" s="133"/>
      <c r="BY43" s="137" t="s">
        <v>81</v>
      </c>
      <c r="BZ43" s="133"/>
      <c r="CA43" s="125" t="s">
        <v>100</v>
      </c>
      <c r="CB43" s="128" t="s">
        <v>42</v>
      </c>
      <c r="CC43" s="129"/>
      <c r="CD43" s="129"/>
      <c r="CE43" s="129"/>
      <c r="CF43" s="129"/>
      <c r="CG43" s="129"/>
      <c r="CH43" s="129"/>
      <c r="CI43" s="129"/>
      <c r="CJ43" s="129"/>
      <c r="CK43" s="129"/>
      <c r="CL43" s="129"/>
      <c r="CM43" s="129"/>
      <c r="CN43" s="130"/>
      <c r="CO43" s="119" t="s">
        <v>43</v>
      </c>
      <c r="CP43" s="120"/>
      <c r="CQ43" s="120"/>
      <c r="CR43" s="120"/>
      <c r="CS43" s="120"/>
      <c r="CT43" s="120"/>
      <c r="CU43" s="120"/>
      <c r="CV43" s="120"/>
      <c r="CW43" s="121"/>
      <c r="CX43" s="119" t="s">
        <v>44</v>
      </c>
      <c r="CY43" s="120"/>
      <c r="CZ43" s="120"/>
      <c r="DA43" s="120"/>
      <c r="DB43" s="120"/>
      <c r="DC43" s="120"/>
      <c r="DD43" s="120"/>
      <c r="DE43" s="120"/>
      <c r="DF43" s="120"/>
      <c r="DG43" s="120"/>
      <c r="DH43" s="120"/>
      <c r="DI43" s="121"/>
      <c r="DJ43" s="149" t="s">
        <v>7</v>
      </c>
      <c r="DK43" s="149"/>
      <c r="DL43" s="149"/>
      <c r="DM43" s="149"/>
      <c r="DN43" s="149"/>
      <c r="DO43" s="149" t="s">
        <v>8</v>
      </c>
      <c r="DP43" s="149"/>
      <c r="DQ43" s="149"/>
      <c r="DR43" s="149"/>
      <c r="DS43" s="149"/>
      <c r="DT43" s="149"/>
    </row>
    <row r="44" spans="1:124">
      <c r="BQ44" s="67"/>
      <c r="BR44" s="126"/>
      <c r="BS44" s="126"/>
      <c r="BT44" s="134"/>
      <c r="BU44" s="135"/>
      <c r="BV44" s="135"/>
      <c r="BW44" s="135"/>
      <c r="BX44" s="136"/>
      <c r="BY44" s="134"/>
      <c r="BZ44" s="136"/>
      <c r="CA44" s="126"/>
      <c r="CB44" s="128" t="s">
        <v>82</v>
      </c>
      <c r="CC44" s="129"/>
      <c r="CD44" s="129"/>
      <c r="CE44" s="129"/>
      <c r="CF44" s="129"/>
      <c r="CG44" s="129"/>
      <c r="CH44" s="130"/>
      <c r="CI44" s="128" t="s">
        <v>83</v>
      </c>
      <c r="CJ44" s="129"/>
      <c r="CK44" s="129"/>
      <c r="CL44" s="129"/>
      <c r="CM44" s="129"/>
      <c r="CN44" s="130"/>
      <c r="CO44" s="122"/>
      <c r="CP44" s="123"/>
      <c r="CQ44" s="123"/>
      <c r="CR44" s="123"/>
      <c r="CS44" s="123"/>
      <c r="CT44" s="123"/>
      <c r="CU44" s="123"/>
      <c r="CV44" s="123"/>
      <c r="CW44" s="124"/>
      <c r="CX44" s="122"/>
      <c r="CY44" s="123"/>
      <c r="CZ44" s="123"/>
      <c r="DA44" s="123"/>
      <c r="DB44" s="123"/>
      <c r="DC44" s="123"/>
      <c r="DD44" s="123"/>
      <c r="DE44" s="123"/>
      <c r="DF44" s="123"/>
      <c r="DG44" s="123"/>
      <c r="DH44" s="123"/>
      <c r="DI44" s="124"/>
      <c r="DJ44" s="149"/>
      <c r="DK44" s="149"/>
      <c r="DL44" s="149"/>
      <c r="DM44" s="149"/>
      <c r="DN44" s="149"/>
      <c r="DO44" s="149"/>
      <c r="DP44" s="149"/>
      <c r="DQ44" s="149"/>
      <c r="DR44" s="149"/>
      <c r="DS44" s="149"/>
      <c r="DT44" s="149"/>
    </row>
    <row r="45" spans="1:124">
      <c r="BQ45" s="68"/>
      <c r="BR45" s="127"/>
      <c r="BS45" s="127"/>
      <c r="BT45" s="69" t="s">
        <v>84</v>
      </c>
      <c r="BU45" s="69" t="s">
        <v>85</v>
      </c>
      <c r="BV45" s="69" t="s">
        <v>86</v>
      </c>
      <c r="BW45" s="69" t="s">
        <v>87</v>
      </c>
      <c r="BX45" s="69" t="s">
        <v>88</v>
      </c>
      <c r="BY45" s="69" t="s">
        <v>84</v>
      </c>
      <c r="BZ45" s="69" t="s">
        <v>85</v>
      </c>
      <c r="CA45" s="127"/>
      <c r="CB45" s="70" t="s">
        <v>84</v>
      </c>
      <c r="CC45" s="70" t="s">
        <v>85</v>
      </c>
      <c r="CD45" s="70" t="s">
        <v>86</v>
      </c>
      <c r="CE45" s="70" t="s">
        <v>87</v>
      </c>
      <c r="CF45" s="70" t="s">
        <v>88</v>
      </c>
      <c r="CG45" s="70" t="s">
        <v>89</v>
      </c>
      <c r="CH45" s="70" t="s">
        <v>90</v>
      </c>
      <c r="CI45" s="70" t="s">
        <v>84</v>
      </c>
      <c r="CJ45" s="70" t="s">
        <v>85</v>
      </c>
      <c r="CK45" s="70" t="s">
        <v>86</v>
      </c>
      <c r="CL45" s="70" t="s">
        <v>87</v>
      </c>
      <c r="CM45" s="70" t="s">
        <v>88</v>
      </c>
      <c r="CN45" s="71" t="s">
        <v>89</v>
      </c>
      <c r="CO45" s="70" t="s">
        <v>84</v>
      </c>
      <c r="CP45" s="70" t="s">
        <v>85</v>
      </c>
      <c r="CQ45" s="70" t="s">
        <v>86</v>
      </c>
      <c r="CR45" s="70" t="s">
        <v>87</v>
      </c>
      <c r="CS45" s="70" t="s">
        <v>88</v>
      </c>
      <c r="CT45" s="71" t="s">
        <v>89</v>
      </c>
      <c r="CU45" s="71" t="s">
        <v>90</v>
      </c>
      <c r="CV45" s="71" t="s">
        <v>91</v>
      </c>
      <c r="CW45" s="71" t="s">
        <v>92</v>
      </c>
      <c r="CX45" s="72" t="s">
        <v>84</v>
      </c>
      <c r="CY45" s="70" t="s">
        <v>85</v>
      </c>
      <c r="CZ45" s="70" t="s">
        <v>86</v>
      </c>
      <c r="DA45" s="70" t="s">
        <v>87</v>
      </c>
      <c r="DB45" s="73" t="s">
        <v>88</v>
      </c>
      <c r="DC45" s="73" t="s">
        <v>89</v>
      </c>
      <c r="DD45" s="73" t="s">
        <v>90</v>
      </c>
      <c r="DE45" s="73" t="s">
        <v>91</v>
      </c>
      <c r="DF45" s="71" t="s">
        <v>92</v>
      </c>
      <c r="DG45" s="71" t="s">
        <v>93</v>
      </c>
      <c r="DH45" s="71" t="s">
        <v>94</v>
      </c>
      <c r="DI45" s="71" t="s">
        <v>95</v>
      </c>
      <c r="DJ45" s="69" t="s">
        <v>84</v>
      </c>
      <c r="DK45" s="69" t="s">
        <v>85</v>
      </c>
      <c r="DL45" s="69" t="s">
        <v>86</v>
      </c>
      <c r="DM45" s="69" t="s">
        <v>87</v>
      </c>
      <c r="DN45" s="69" t="s">
        <v>88</v>
      </c>
      <c r="DO45" s="69" t="s">
        <v>84</v>
      </c>
      <c r="DP45" s="69" t="s">
        <v>85</v>
      </c>
      <c r="DQ45" s="69" t="s">
        <v>86</v>
      </c>
      <c r="DR45" s="69" t="s">
        <v>87</v>
      </c>
      <c r="DS45" s="69" t="s">
        <v>88</v>
      </c>
      <c r="DT45" s="73" t="s">
        <v>89</v>
      </c>
    </row>
    <row r="46" spans="1:124" ht="21.75" customHeight="1" thickBot="1">
      <c r="BQ46" s="90" t="s">
        <v>96</v>
      </c>
      <c r="BR46" s="91">
        <f>SUM(BR47:BR53)</f>
        <v>0</v>
      </c>
      <c r="BS46" s="91">
        <f t="shared" ref="BS46:DT46" si="28">SUM(BS47:BS53)</f>
        <v>0</v>
      </c>
      <c r="BT46" s="91">
        <f t="shared" si="28"/>
        <v>0</v>
      </c>
      <c r="BU46" s="91">
        <f t="shared" si="28"/>
        <v>0</v>
      </c>
      <c r="BV46" s="91">
        <f t="shared" si="28"/>
        <v>0</v>
      </c>
      <c r="BW46" s="91">
        <f t="shared" si="28"/>
        <v>0</v>
      </c>
      <c r="BX46" s="91">
        <f t="shared" si="28"/>
        <v>0</v>
      </c>
      <c r="BY46" s="91">
        <f t="shared" si="28"/>
        <v>0</v>
      </c>
      <c r="BZ46" s="91">
        <f t="shared" si="28"/>
        <v>0</v>
      </c>
      <c r="CA46" s="91">
        <f t="shared" si="28"/>
        <v>0</v>
      </c>
      <c r="CB46" s="91">
        <f t="shared" si="28"/>
        <v>0</v>
      </c>
      <c r="CC46" s="91">
        <f t="shared" si="28"/>
        <v>0</v>
      </c>
      <c r="CD46" s="91">
        <f t="shared" si="28"/>
        <v>0</v>
      </c>
      <c r="CE46" s="91">
        <f t="shared" si="28"/>
        <v>0</v>
      </c>
      <c r="CF46" s="91">
        <f t="shared" si="28"/>
        <v>0</v>
      </c>
      <c r="CG46" s="91">
        <f t="shared" si="28"/>
        <v>0</v>
      </c>
      <c r="CH46" s="91">
        <f t="shared" si="28"/>
        <v>0</v>
      </c>
      <c r="CI46" s="91">
        <f t="shared" si="28"/>
        <v>0</v>
      </c>
      <c r="CJ46" s="91">
        <f t="shared" si="28"/>
        <v>0</v>
      </c>
      <c r="CK46" s="91">
        <f t="shared" si="28"/>
        <v>0</v>
      </c>
      <c r="CL46" s="91">
        <f t="shared" si="28"/>
        <v>0</v>
      </c>
      <c r="CM46" s="91">
        <f t="shared" si="28"/>
        <v>0</v>
      </c>
      <c r="CN46" s="91">
        <f t="shared" si="28"/>
        <v>0</v>
      </c>
      <c r="CO46" s="91">
        <f t="shared" si="28"/>
        <v>0</v>
      </c>
      <c r="CP46" s="91">
        <f t="shared" si="28"/>
        <v>0</v>
      </c>
      <c r="CQ46" s="91">
        <f t="shared" si="28"/>
        <v>0</v>
      </c>
      <c r="CR46" s="91">
        <f t="shared" si="28"/>
        <v>0</v>
      </c>
      <c r="CS46" s="91">
        <f t="shared" si="28"/>
        <v>0</v>
      </c>
      <c r="CT46" s="91">
        <f t="shared" si="28"/>
        <v>0</v>
      </c>
      <c r="CU46" s="91">
        <f t="shared" si="28"/>
        <v>0</v>
      </c>
      <c r="CV46" s="91">
        <f t="shared" si="28"/>
        <v>0</v>
      </c>
      <c r="CW46" s="91">
        <f t="shared" si="28"/>
        <v>0</v>
      </c>
      <c r="CX46" s="91">
        <f t="shared" si="28"/>
        <v>0</v>
      </c>
      <c r="CY46" s="91">
        <f t="shared" si="28"/>
        <v>0</v>
      </c>
      <c r="CZ46" s="91">
        <f t="shared" si="28"/>
        <v>0</v>
      </c>
      <c r="DA46" s="91">
        <f t="shared" si="28"/>
        <v>0</v>
      </c>
      <c r="DB46" s="91">
        <f t="shared" si="28"/>
        <v>0</v>
      </c>
      <c r="DC46" s="91">
        <f t="shared" si="28"/>
        <v>0</v>
      </c>
      <c r="DD46" s="91">
        <f t="shared" si="28"/>
        <v>0</v>
      </c>
      <c r="DE46" s="91">
        <f t="shared" si="28"/>
        <v>0</v>
      </c>
      <c r="DF46" s="91">
        <f t="shared" si="28"/>
        <v>0</v>
      </c>
      <c r="DG46" s="91">
        <f t="shared" si="28"/>
        <v>0</v>
      </c>
      <c r="DH46" s="91">
        <f t="shared" si="28"/>
        <v>0</v>
      </c>
      <c r="DI46" s="91">
        <f t="shared" si="28"/>
        <v>0</v>
      </c>
      <c r="DJ46" s="91">
        <f t="shared" si="28"/>
        <v>0</v>
      </c>
      <c r="DK46" s="91">
        <f t="shared" si="28"/>
        <v>0</v>
      </c>
      <c r="DL46" s="91">
        <f t="shared" si="28"/>
        <v>0</v>
      </c>
      <c r="DM46" s="91">
        <f t="shared" si="28"/>
        <v>0</v>
      </c>
      <c r="DN46" s="91">
        <f t="shared" si="28"/>
        <v>0</v>
      </c>
      <c r="DO46" s="91">
        <f t="shared" si="28"/>
        <v>0</v>
      </c>
      <c r="DP46" s="91">
        <f t="shared" si="28"/>
        <v>0</v>
      </c>
      <c r="DQ46" s="91">
        <f t="shared" si="28"/>
        <v>0</v>
      </c>
      <c r="DR46" s="91">
        <f t="shared" si="28"/>
        <v>0</v>
      </c>
      <c r="DS46" s="91">
        <f t="shared" si="28"/>
        <v>0</v>
      </c>
      <c r="DT46" s="91">
        <f t="shared" si="28"/>
        <v>0</v>
      </c>
    </row>
    <row r="47" spans="1:124" ht="21.75" customHeight="1" thickTop="1">
      <c r="BQ47" s="92" t="s">
        <v>169</v>
      </c>
      <c r="BR47" s="93">
        <f>INT(SUMPRODUCT(1/SUBSTITUTE(COUNTIFS(B9:B38,"ア 幼稚園",E9:E38,E9:E38),0,31)))</f>
        <v>0</v>
      </c>
      <c r="BS47" s="93">
        <f>COUNTIF($B$9:$B$38,"ア 幼稚園")</f>
        <v>0</v>
      </c>
      <c r="BT47" s="93">
        <f>COUNTIFS(B9:B38,"ア 幼稚園",C9:C38,"ア ２０歳代")</f>
        <v>0</v>
      </c>
      <c r="BU47" s="93">
        <f>COUNTIFS(B9:B38,"ア 幼稚園",C9:C38,"イ ３０歳代")</f>
        <v>0</v>
      </c>
      <c r="BV47" s="93">
        <f>COUNTIFS(B9:B38,"ア 幼稚園",C9:C38,"ウ ４０歳代")</f>
        <v>0</v>
      </c>
      <c r="BW47" s="93">
        <f>COUNTIFS(B9:B38,"ア 幼稚園",C9:C38,"エ ５０歳代")</f>
        <v>0</v>
      </c>
      <c r="BX47" s="93">
        <f>COUNTIFS(B9:B38,"ア 幼稚園",C9:C38,"オ ６０歳代以上")</f>
        <v>0</v>
      </c>
      <c r="BY47" s="93">
        <f>COUNTIFS($B$9:$B$38,"ア 幼稚園",$D$9:$D$38,"ア 男性")</f>
        <v>0</v>
      </c>
      <c r="BZ47" s="93">
        <f>COUNTIFS($B$9:$B$38,"ア 幼稚園",$D$9:$D$38,"イ 女性")</f>
        <v>0</v>
      </c>
      <c r="CA47" s="93">
        <f>SUM(F9:I38)</f>
        <v>0</v>
      </c>
      <c r="CB47" s="93">
        <f>COUNTIFS($B$9:$B$38,"ア 幼稚園",$AZ$9:$AZ$38,"ア 授業中・保育中")</f>
        <v>0</v>
      </c>
      <c r="CC47" s="93">
        <f>COUNTIFS($B$9:$B$38,"ア 幼稚園",$AZ$9:$AZ$38,"イ 放課後")</f>
        <v>0</v>
      </c>
      <c r="CD47" s="93">
        <f>COUNTIFS($B$9:$B$38,"ア 幼稚園",$AZ$9:$AZ$38,"ウ 休み時間")</f>
        <v>0</v>
      </c>
      <c r="CE47" s="93">
        <f>COUNTIFS($B$9:$B$38,"ア 幼稚園",$AZ$9:$AZ$38,"エ 部活動")</f>
        <v>0</v>
      </c>
      <c r="CF47" s="93">
        <f>COUNTIFS($B$9:$B$38,"ア 幼稚園",$AZ$9:$AZ$38,"オ 学校行事")</f>
        <v>0</v>
      </c>
      <c r="CG47" s="93">
        <f>COUNTIFS($B$9:$B$38,"ア 幼稚園",$AZ$9:$AZ$38,"カ ホームルーム")</f>
        <v>0</v>
      </c>
      <c r="CH47" s="93">
        <f>COUNTIFS($B$9:$B$38,"ア 幼稚園",$AZ$9:$AZ$38,"キ その他")</f>
        <v>0</v>
      </c>
      <c r="CI47" s="93">
        <f>COUNTIFS($B$9:$B$38,"ア 幼稚園",$BA$9:$BA$38,"ア 教室・保育室")</f>
        <v>0</v>
      </c>
      <c r="CJ47" s="93">
        <f>COUNTIFS($B$9:$B$38,"ア 幼稚園",$BA$9:$BA$38,"イ 職員室")</f>
        <v>0</v>
      </c>
      <c r="CK47" s="93">
        <f>COUNTIFS($B$9:$B$38,"ア 幼稚園",$BA$9:$BA$38,"ウ 運動場・園庭、体育館・遊戯室")</f>
        <v>0</v>
      </c>
      <c r="CL47" s="93">
        <f>COUNTIFS($B$9:$B$38,"ア 幼稚園",$BA$9:$BA$38,"エ 生徒指導室")</f>
        <v>0</v>
      </c>
      <c r="CM47" s="93">
        <f>COUNTIFS($B$9:$B$38,"ア 幼稚園",$BA$9:$BA$38,"オ 廊下、階段")</f>
        <v>0</v>
      </c>
      <c r="CN47" s="93">
        <f>COUNTIFS($B$9:$B$38,"ア 幼稚園",$BA$9:$BA$38,"カ その他")</f>
        <v>0</v>
      </c>
      <c r="CO47" s="93">
        <f>COUNTIFS($B$9:$B$38,"ア 幼稚園",$BB$9:$BB$38,"ア 素手で殴る・叩く")</f>
        <v>0</v>
      </c>
      <c r="CP47" s="93">
        <f>COUNTIFS($B$9:$B$38,"ア 幼稚園",$BB$9:$BB$38,"イ 棒などで殴る・叩く")</f>
        <v>0</v>
      </c>
      <c r="CQ47" s="93">
        <f>COUNTIFS($B$9:$B$38,"ア 幼稚園",$BB$9:$BB$38,"ウ 蹴る・踏みつける")</f>
        <v>0</v>
      </c>
      <c r="CR47" s="93">
        <f>COUNTIFS($B$9:$B$38,"ア 幼稚園",$BB$9:$BB$38,"エ 投げる・突き飛ばす・転倒させる")</f>
        <v>0</v>
      </c>
      <c r="CS47" s="93">
        <f>COUNTIFS($B$9:$B$38,"ア 幼稚園",$BB$9:$BB$38,"オ つねる・ひっかく")</f>
        <v>0</v>
      </c>
      <c r="CT47" s="93">
        <f>COUNTIFS($B$9:$B$38,"ア 幼稚園",$BB$9:$BB$38,"カ 物をぶつける・投げつける")</f>
        <v>0</v>
      </c>
      <c r="CU47" s="93">
        <f>COUNTIFS($B$9:$B$38,"ア 幼稚園",$BB$9:$BB$38,"キ 長時間教室等に留め置く")</f>
        <v>0</v>
      </c>
      <c r="CV47" s="93">
        <f>COUNTIFS($B$9:$B$38,"ア 幼稚園",$BB$9:$BB$38,"ク 長時間正座など一定の姿勢を保持させる")</f>
        <v>0</v>
      </c>
      <c r="CW47" s="93">
        <f>COUNTIFS($B$9:$B$38,"ア 幼稚園",$BB$9:$BB$38,"ケ その他")</f>
        <v>0</v>
      </c>
      <c r="CX47" s="97">
        <f>COUNTIFS($B$9:$B$38,"ア 幼稚園",$BC$9:$BC$38,"ア 死亡")</f>
        <v>0</v>
      </c>
      <c r="CY47" s="93">
        <f>COUNTIFS($B$9:$B$38,"ア 幼稚園",$BC$9:$BC$38,"イ 骨折・挫折など")</f>
        <v>0</v>
      </c>
      <c r="CZ47" s="93">
        <f>COUNTIFS($B$9:$B$38,"ア 幼稚園",$BC$9:$BC$38,"ウ 鼓膜損傷")</f>
        <v>0</v>
      </c>
      <c r="DA47" s="93">
        <f>COUNTIFS($B$9:$B$38,"ア 幼稚園",$BC$9:$BC$38,"エ 外傷")</f>
        <v>0</v>
      </c>
      <c r="DB47" s="93">
        <f>COUNTIFS($B$9:$B$38,"ア 幼稚園",$BC$9:$BC$38,"オ 打撲（頭）")</f>
        <v>0</v>
      </c>
      <c r="DC47" s="93">
        <f>COUNTIFS($B$9:$B$38,"ア 幼稚園",$BC$9:$BC$38,"カ 打撲（顔）")</f>
        <v>0</v>
      </c>
      <c r="DD47" s="93">
        <f>COUNTIFS($B$9:$B$38,"ア 幼稚園",$BC$9:$BC$38,"キ 打撲（足）")</f>
        <v>0</v>
      </c>
      <c r="DE47" s="93">
        <f>COUNTIFS($B$9:$B$38,"ア 幼稚園",$BC$9:$BC$38,"ク 打撲（オ～キ以外）")</f>
        <v>0</v>
      </c>
      <c r="DF47" s="93">
        <f>COUNTIFS($B$9:$B$38,"ア 幼稚園",$BC$9:$BC$38,"ケ 鼻血")</f>
        <v>0</v>
      </c>
      <c r="DG47" s="93">
        <f>COUNTIFS($B$9:$B$38,"ア 幼稚園",$BC$9:$BC$38,"コ 髪を切られる")</f>
        <v>0</v>
      </c>
      <c r="DH47" s="93">
        <f>COUNTIFS($B$9:$B$38,"ア 幼稚園",$BC$9:$BC$38,"サ その他")</f>
        <v>0</v>
      </c>
      <c r="DI47" s="93">
        <f>COUNTIFS($B$9:$B$38,"ア 幼稚園",$BC$9:$BC$38,"シ 傷害なし")</f>
        <v>0</v>
      </c>
      <c r="DJ47" s="93">
        <f>COUNTIFS($B$9:$B$38,"ア 幼稚園",$BD$9:$BD$38,1)</f>
        <v>0</v>
      </c>
      <c r="DK47" s="93">
        <f>COUNTIFS($B$9:$B$38,"ア 幼稚園",$BE$9:$BE$38,1)</f>
        <v>0</v>
      </c>
      <c r="DL47" s="93">
        <f>COUNTIFS($B$9:$B$38,"ア 幼稚園",$BF$9:$BF$38,1)</f>
        <v>0</v>
      </c>
      <c r="DM47" s="93">
        <f>COUNTIFS($B$9:$B$38,"ア 幼稚園",$BG$9:$BG$38,1)</f>
        <v>0</v>
      </c>
      <c r="DN47" s="93">
        <f>COUNTIFS($B$9:$B$38,"ア 幼稚園",$BH$9:$BH$38,1)</f>
        <v>0</v>
      </c>
      <c r="DO47" s="93">
        <f>COUNTIFS($B$9:$B$38,"ア 幼稚園",$BI$9:$BI$38,1)</f>
        <v>0</v>
      </c>
      <c r="DP47" s="93">
        <f>COUNTIFS($B$9:$B$38,"ア 幼稚園",$BJ$9:$BJ$38,1)</f>
        <v>0</v>
      </c>
      <c r="DQ47" s="93">
        <f>COUNTIFS($B$9:$B$38,"ア 幼稚園",$BK$9:$BK$38,1)</f>
        <v>0</v>
      </c>
      <c r="DR47" s="93">
        <f>COUNTIFS($B$9:$B$38,"ア 幼稚園",$BL$9:$BL$38,1)</f>
        <v>0</v>
      </c>
      <c r="DS47" s="93">
        <f>COUNTIFS($B$9:$B$38,"ア 幼稚園",$BM$9:$BM$38,1)</f>
        <v>0</v>
      </c>
      <c r="DT47" s="93">
        <f>COUNTIFS($B$9:$B$38,"ア 幼稚園",$BN$9:$BN$38,1)</f>
        <v>0</v>
      </c>
    </row>
    <row r="48" spans="1:124" ht="21.75" customHeight="1">
      <c r="BQ48" s="74" t="s">
        <v>74</v>
      </c>
      <c r="BR48" s="99">
        <f>INT(SUMPRODUCT(1/SUBSTITUTE(COUNTIFS(B9:B38,"イ 小学校",E9:E38,E9:E38),0,31)))</f>
        <v>0</v>
      </c>
      <c r="BS48" s="76">
        <f>COUNTIF($B$9:$B$38,"イ 小学校")</f>
        <v>0</v>
      </c>
      <c r="BT48" s="76">
        <f>COUNTIFS(B9:B38,"イ 小学校",C9:C38,"ア ２０歳代")</f>
        <v>0</v>
      </c>
      <c r="BU48" s="76">
        <f>COUNTIFS(B9:B38,"イ 小学校",C9:C38,"イ ３０歳代")</f>
        <v>0</v>
      </c>
      <c r="BV48" s="76">
        <f>COUNTIFS(B9:B38,"イ 小学校",C9:C38,"ウ ４０歳代")</f>
        <v>0</v>
      </c>
      <c r="BW48" s="76">
        <f>COUNTIFS(B9:B38,"イ 小学校",C9:C38,"エ ５０歳代")</f>
        <v>0</v>
      </c>
      <c r="BX48" s="76">
        <f>COUNTIFS(B9:B38,"イ 小学校",C9:C38,"オ ６０歳代以上")</f>
        <v>0</v>
      </c>
      <c r="BY48" s="76">
        <f>COUNTIFS($B$9:$B$38,"イ 小学校",$D$9:$D$38,"ア 男性")</f>
        <v>0</v>
      </c>
      <c r="BZ48" s="76">
        <f>COUNTIFS($B$9:$B$38,"イ 小学校",$D$9:$D$38,"イ 女性")</f>
        <v>0</v>
      </c>
      <c r="CA48" s="76">
        <f>SUM(J9:O38)</f>
        <v>0</v>
      </c>
      <c r="CB48" s="77">
        <f>COUNTIFS($B$9:$B$38,"イ 小学校",$AZ$9:$AZ$38,"ア 授業中・保育中")</f>
        <v>0</v>
      </c>
      <c r="CC48" s="77">
        <f>COUNTIFS($B$9:$B$38,"イ 小学校",$AZ$9:$AZ$38,"イ 放課後")</f>
        <v>0</v>
      </c>
      <c r="CD48" s="77">
        <f>COUNTIFS($B$9:$B$38,"イ 小学校",$AZ$9:$AZ$38,"ウ 休み時間")</f>
        <v>0</v>
      </c>
      <c r="CE48" s="77">
        <f>COUNTIFS($B$9:$B$38,"イ 小学校",$AZ$9:$AZ$38,"エ 部活動")</f>
        <v>0</v>
      </c>
      <c r="CF48" s="77">
        <f>COUNTIFS($B$9:$B$38,"イ 小学校",$AZ$9:$AZ$38,"オ 学校行事")</f>
        <v>0</v>
      </c>
      <c r="CG48" s="77">
        <f>COUNTIFS($B$9:$B$38,"イ 小学校",$AZ$9:$AZ$38,"カ ホームルーム")</f>
        <v>0</v>
      </c>
      <c r="CH48" s="77">
        <f>COUNTIFS($B$9:$B$38,"イ 小学校",$AZ$9:$AZ$38,"キ その他")</f>
        <v>0</v>
      </c>
      <c r="CI48" s="77">
        <f>COUNTIFS($B$9:$B$38,"イ 小学校",$BA$9:$BA$38,"ア 教室・保育室")</f>
        <v>0</v>
      </c>
      <c r="CJ48" s="77">
        <f>COUNTIFS($B$9:$B$38,"イ 小学校",$BA$9:$BA$38,"イ 職員室")</f>
        <v>0</v>
      </c>
      <c r="CK48" s="77">
        <f>COUNTIFS($B$9:$B$38,"イ 小学校",$BA$9:$BA$38,"ウ 運動場・園庭、体育館・遊戯室")</f>
        <v>0</v>
      </c>
      <c r="CL48" s="77">
        <f>COUNTIFS($B$9:$B$38,"イ 小学校",$BA$9:$BA$38,"エ 生徒指導室")</f>
        <v>0</v>
      </c>
      <c r="CM48" s="77">
        <f>COUNTIFS($B$9:$B$38,"イ 小学校",$BA$9:$BA$38,"オ 廊下、階段")</f>
        <v>0</v>
      </c>
      <c r="CN48" s="77">
        <f>COUNTIFS($B$9:$B$38,"イ 小学校",$BA$9:$BA$38,"カ その他")</f>
        <v>0</v>
      </c>
      <c r="CO48" s="77">
        <f>COUNTIFS($B$9:$B$38,"イ 小学校",$BB$9:$BB$38,"ア 素手で殴る・叩く")</f>
        <v>0</v>
      </c>
      <c r="CP48" s="77">
        <f>COUNTIFS($B$9:$B$38,"イ 小学校",$BB$9:$BB$38,"イ 棒などで殴る・叩く")</f>
        <v>0</v>
      </c>
      <c r="CQ48" s="77">
        <f>COUNTIFS($B$9:$B$38,"イ 小学校",$BB$9:$BB$38,"ウ 蹴る・踏みつける")</f>
        <v>0</v>
      </c>
      <c r="CR48" s="77">
        <f>COUNTIFS($B$9:$B$38,"イ 小学校",$BB$9:$BB$38,"エ 投げる・突き飛ばす・転倒させる")</f>
        <v>0</v>
      </c>
      <c r="CS48" s="77">
        <f>COUNTIFS($B$9:$B$38,"イ 小学校",$BB$9:$BB$38,"オ つねる・ひっかく")</f>
        <v>0</v>
      </c>
      <c r="CT48" s="77">
        <f>COUNTIFS($B$9:$B$38,"イ 小学校",$BB$9:$BB$38,"カ 物をぶつける・投げつける")</f>
        <v>0</v>
      </c>
      <c r="CU48" s="77">
        <f>COUNTIFS($B$9:$B$38,"イ 小学校",$BB$9:$BB$38,"キ 長時間教室等に留め置く")</f>
        <v>0</v>
      </c>
      <c r="CV48" s="77">
        <f>COUNTIFS($B$9:$B$38,"イ 小学校",$BB$9:$BB$38,"ク 長時間正座など一定の姿勢を保持させる")</f>
        <v>0</v>
      </c>
      <c r="CW48" s="77">
        <f>COUNTIFS($B$9:$B$38,"イ 小学校",$BB$9:$BB$38,"ケ その他")</f>
        <v>0</v>
      </c>
      <c r="CX48" s="98">
        <f>COUNTIFS($B$9:$B$38,"イ 小学校",$BC$9:$BC$38,"ア 死亡")</f>
        <v>0</v>
      </c>
      <c r="CY48" s="77">
        <f>COUNTIFS($B$9:$B$38,"イ 小学校",$BC$9:$BC$38,"イ 骨折・挫折など")</f>
        <v>0</v>
      </c>
      <c r="CZ48" s="77">
        <f>COUNTIFS($B$9:$B$38,"イ 小学校",$BC$9:$BC$38,"ウ 鼓膜損傷")</f>
        <v>0</v>
      </c>
      <c r="DA48" s="77">
        <f>COUNTIFS($B$9:$B$38,"イ 小学校",$BC$9:$BC$38,"エ 外傷")</f>
        <v>0</v>
      </c>
      <c r="DB48" s="77">
        <f>COUNTIFS($B$9:$B$38,"イ 小学校",$BC$9:$BC$38,"オ 打撲（頭）")</f>
        <v>0</v>
      </c>
      <c r="DC48" s="77">
        <f>COUNTIFS($B$9:$B$38,"イ 小学校",$BC$9:$BC$38,"カ 打撲（顔）")</f>
        <v>0</v>
      </c>
      <c r="DD48" s="77">
        <f>COUNTIFS($B$9:$B$38,"イ 小学校",$BC$9:$BC$38,"キ 打撲（足）")</f>
        <v>0</v>
      </c>
      <c r="DE48" s="77">
        <f>COUNTIFS($B$9:$B$38,"イ 小学校",$BC$9:$BC$38,"ク 打撲（オ～キ以外）")</f>
        <v>0</v>
      </c>
      <c r="DF48" s="77">
        <f>COUNTIFS($B$9:$B$38,"イ 小学校",$BC$9:$BC$38,"ケ 鼻血")</f>
        <v>0</v>
      </c>
      <c r="DG48" s="77">
        <f>COUNTIFS($B$9:$B$38,"イ 小学校",$BC$9:$BC$38,"コ 髪を切られる")</f>
        <v>0</v>
      </c>
      <c r="DH48" s="77">
        <f>COUNTIFS($B$9:$B$38,"イ 小学校",$BC$9:$BC$38,"サ その他")</f>
        <v>0</v>
      </c>
      <c r="DI48" s="77">
        <f>COUNTIFS($B$9:$B$38,"イ 小学校",$BC$9:$BC$38,"シ 傷害なし")</f>
        <v>0</v>
      </c>
      <c r="DJ48" s="76">
        <f>COUNTIFS($B$9:$B$38,"イ 小学校",$BD$9:$BD$38,1)</f>
        <v>0</v>
      </c>
      <c r="DK48" s="76">
        <f>COUNTIFS($B$9:$B$38,"イ 小学校",$BE$9:$BE$38,1)</f>
        <v>0</v>
      </c>
      <c r="DL48" s="76">
        <f>COUNTIFS($B$9:$B$38,"イ 小学校",$BF$9:$BF$38,1)</f>
        <v>0</v>
      </c>
      <c r="DM48" s="76">
        <f>COUNTIFS($B$9:$B$38,"イ 小学校",$BG$9:$BG$38,1)</f>
        <v>0</v>
      </c>
      <c r="DN48" s="76">
        <f>COUNTIFS($B$9:$B$38,"イ 小学校",$BH$9:$BH$38,1)</f>
        <v>0</v>
      </c>
      <c r="DO48" s="76">
        <f>COUNTIFS($B$9:$B$38,"イ 小学校",$BI$9:$BI$38,1)</f>
        <v>0</v>
      </c>
      <c r="DP48" s="76">
        <f>COUNTIFS($B$9:$B$38,"イ 小学校",$BJ$9:$BJ$38,1)</f>
        <v>0</v>
      </c>
      <c r="DQ48" s="76">
        <f>COUNTIFS($B$9:$B$38,"イ 小学校",$BK$9:$BK$38,1)</f>
        <v>0</v>
      </c>
      <c r="DR48" s="76">
        <f>COUNTIFS($B$9:$B$38,"イ 小学校",$BL$9:$BL$38,1)</f>
        <v>0</v>
      </c>
      <c r="DS48" s="76">
        <f>COUNTIFS($B$9:$B$38,"イ 小学校",$BM$9:$BM$38,1)</f>
        <v>0</v>
      </c>
      <c r="DT48" s="76">
        <f>COUNTIFS($B$9:$B$38,"イ 小学校",$BN$9:$BN$38,1)</f>
        <v>0</v>
      </c>
    </row>
    <row r="49" spans="69:124" ht="21.75" customHeight="1">
      <c r="BQ49" s="74" t="s">
        <v>75</v>
      </c>
      <c r="BR49" s="76">
        <f>INT(SUMPRODUCT(1/SUBSTITUTE(COUNTIFS(B9:B38,"ウ 中学校",E9:E38,E9:E38),0,31)))</f>
        <v>0</v>
      </c>
      <c r="BS49" s="76">
        <f>COUNTIF($B$9:$B$38,"ウ 中学校")</f>
        <v>0</v>
      </c>
      <c r="BT49" s="76">
        <f>COUNTIFS(B9:B38,"ウ 中学校",C9:C38,"ア ２０歳代")</f>
        <v>0</v>
      </c>
      <c r="BU49" s="76">
        <f>COUNTIFS(B9:B38,"ウ 中学校",C9:C38,"イ ３０歳代")</f>
        <v>0</v>
      </c>
      <c r="BV49" s="76">
        <f>COUNTIFS(B9:B38,"ウ 中学校",C9:C38,"ウ ４０歳代")</f>
        <v>0</v>
      </c>
      <c r="BW49" s="76">
        <f>COUNTIFS(B9:B38,"ウ 中学校",C9:C38,"エ ５０歳代")</f>
        <v>0</v>
      </c>
      <c r="BX49" s="76">
        <f>COUNTIFS(B9:B38,"ウ 中学校",C9:C38,"オ ６０歳代以上")</f>
        <v>0</v>
      </c>
      <c r="BY49" s="76">
        <f>COUNTIFS($B$9:$B$38,"ウ 中学校",$D$9:$D$38,"ア 男性")</f>
        <v>0</v>
      </c>
      <c r="BZ49" s="76">
        <f>COUNTIFS($B$9:$B$38,"ウ 中学校",$D$9:$D$38,"イ 女性")</f>
        <v>0</v>
      </c>
      <c r="CA49" s="76">
        <f>SUM(P9:R38)</f>
        <v>0</v>
      </c>
      <c r="CB49" s="77">
        <f>COUNTIFS($B$9:$B$38,"ウ 中学校",$AZ$9:$AZ$38,"ア 授業中・保育中")</f>
        <v>0</v>
      </c>
      <c r="CC49" s="77">
        <f>COUNTIFS($B$9:$B$38,"ウ 中学校",$AZ$9:$AZ$38,"イ 放課後")</f>
        <v>0</v>
      </c>
      <c r="CD49" s="77">
        <f>COUNTIFS($B$9:$B$38,"ウ 中学校",$AZ$9:$AZ$38,"ウ 休み時間")</f>
        <v>0</v>
      </c>
      <c r="CE49" s="77">
        <f>COUNTIFS($B$9:$B$38,"ウ 中学校",$AZ$9:$AZ$38,"エ 部活動")</f>
        <v>0</v>
      </c>
      <c r="CF49" s="77">
        <f>COUNTIFS($B$9:$B$38,"ウ 中学校",$AZ$9:$AZ$38,"オ 学校行事")</f>
        <v>0</v>
      </c>
      <c r="CG49" s="77">
        <f>COUNTIFS($B$9:$B$38,"ウ 中学校",$AZ$9:$AZ$38,"カ ホームルーム")</f>
        <v>0</v>
      </c>
      <c r="CH49" s="77">
        <f>COUNTIFS($B$9:$B$38,"ウ 中学校",$AZ$9:$AZ$38,"キ その他")</f>
        <v>0</v>
      </c>
      <c r="CI49" s="77">
        <f>COUNTIFS($B$9:$B$38,"ウ 中学校",$BA$9:$BA$38,"ア 教室・保育室")</f>
        <v>0</v>
      </c>
      <c r="CJ49" s="77">
        <f>COUNTIFS($B$9:$B$38,"ウ 中学校",$BA$9:$BA$38,"イ 職員室")</f>
        <v>0</v>
      </c>
      <c r="CK49" s="77">
        <f>COUNTIFS($B$9:$B$38,"ウ 中学校",$BA$9:$BA$38,"ウ 運動場・園庭、体育館・遊戯室")</f>
        <v>0</v>
      </c>
      <c r="CL49" s="77">
        <f>COUNTIFS($B$9:$B$38,"ウ 中学校",$BA$9:$BA$38,"エ 生徒指導室")</f>
        <v>0</v>
      </c>
      <c r="CM49" s="77">
        <f>COUNTIFS($B$9:$B$38,"ウ 中学校",$BA$9:$BA$38,"オ 廊下、階段")</f>
        <v>0</v>
      </c>
      <c r="CN49" s="77">
        <f>COUNTIFS($B$9:$B$38,"ウ 中学校",$BA$9:$BA$38,"カ その他")</f>
        <v>0</v>
      </c>
      <c r="CO49" s="77">
        <f>COUNTIFS($B$9:$B$38,"ウ 中学校",$BB$9:$BB$38,"ア 素手で殴る・叩く")</f>
        <v>0</v>
      </c>
      <c r="CP49" s="77">
        <f>COUNTIFS($B$9:$B$38,"ウ 中学校",$BB$9:$BB$38,"イ 棒などで殴る・叩く")</f>
        <v>0</v>
      </c>
      <c r="CQ49" s="77">
        <f>COUNTIFS($B$9:$B$38,"ウ 中学校",$BB$9:$BB$38,"ウ 蹴る・踏みつける")</f>
        <v>0</v>
      </c>
      <c r="CR49" s="77">
        <f>COUNTIFS($B$9:$B$38,"ウ 中学校",$BB$9:$BB$38,"エ 投げる・突き飛ばす・転倒させる")</f>
        <v>0</v>
      </c>
      <c r="CS49" s="77">
        <f>COUNTIFS($B$9:$B$38,"ウ 中学校",$BB$9:$BB$38,"オ つねる・ひっかく")</f>
        <v>0</v>
      </c>
      <c r="CT49" s="77">
        <f>COUNTIFS($B$9:$B$38,"ウ 中学校",$BB$9:$BB$38,"カ 物をぶつける・投げつける")</f>
        <v>0</v>
      </c>
      <c r="CU49" s="77">
        <f>COUNTIFS($B$9:$B$38,"ウ 中学校",$BB$9:$BB$38,"キ 長時間教室等に留め置く")</f>
        <v>0</v>
      </c>
      <c r="CV49" s="77">
        <f>COUNTIFS($B$9:$B$38,"ウ 中学校",$BB$9:$BB$38,"ク 長時間正座など一定の姿勢を保持させる")</f>
        <v>0</v>
      </c>
      <c r="CW49" s="77">
        <f>COUNTIFS($B$9:$B$38,"ウ 中学校",$BB$9:$BB$38,"ケ その他")</f>
        <v>0</v>
      </c>
      <c r="CX49" s="98">
        <f>COUNTIFS($B$9:$B$38,"ウ 中学校",$BC$9:$BC$38,"ア 死亡")</f>
        <v>0</v>
      </c>
      <c r="CY49" s="77">
        <f>COUNTIFS($B$9:$B$38,"ウ 中学校",$BC$9:$BC$38,"イ 骨折・挫折など")</f>
        <v>0</v>
      </c>
      <c r="CZ49" s="77">
        <f>COUNTIFS($B$9:$B$38,"ウ 中学校",$BC$9:$BC$38,"ウ 鼓膜損傷")</f>
        <v>0</v>
      </c>
      <c r="DA49" s="77">
        <f>COUNTIFS($B$9:$B$38,"ウ 中学校",$BC$9:$BC$38,"エ 外傷")</f>
        <v>0</v>
      </c>
      <c r="DB49" s="77">
        <f>COUNTIFS($B$9:$B$38,"ウ 中学校",$BC$9:$BC$38,"オ 打撲（頭）")</f>
        <v>0</v>
      </c>
      <c r="DC49" s="77">
        <f>COUNTIFS($B$9:$B$38,"ウ 中学校",$BC$9:$BC$38,"カ 打撲（顔）")</f>
        <v>0</v>
      </c>
      <c r="DD49" s="77">
        <f>COUNTIFS($B$9:$B$38,"ウ 中学校",$BC$9:$BC$38,"キ 打撲（足）")</f>
        <v>0</v>
      </c>
      <c r="DE49" s="77">
        <f>COUNTIFS($B$9:$B$38,"ウ 中学校",$BC$9:$BC$38,"ク 打撲（オ～キ以外）")</f>
        <v>0</v>
      </c>
      <c r="DF49" s="77">
        <f>COUNTIFS($B$9:$B$38,"ウ 中学校",$BC$9:$BC$38,"ケ 鼻血")</f>
        <v>0</v>
      </c>
      <c r="DG49" s="77">
        <f>COUNTIFS($B$9:$B$38,"ウ 中学校",$BC$9:$BC$38,"コ 髪を切られる")</f>
        <v>0</v>
      </c>
      <c r="DH49" s="77">
        <f>COUNTIFS($B$9:$B$38,"ウ 中学校",$BC$9:$BC$38,"サ その他")</f>
        <v>0</v>
      </c>
      <c r="DI49" s="77">
        <f>COUNTIFS($B$9:$B$38,"ウ 中学校",$BC$9:$BC$38,"シ 傷害なし")</f>
        <v>0</v>
      </c>
      <c r="DJ49" s="76">
        <f>COUNTIFS($B$9:$B$38,"ウ 中学校",$BD$9:$BD$38,1)</f>
        <v>0</v>
      </c>
      <c r="DK49" s="76">
        <f>COUNTIFS($B$9:$B$38,"ウ 中学校",$BE$9:$BE$38,1)</f>
        <v>0</v>
      </c>
      <c r="DL49" s="76">
        <f>COUNTIFS($B$9:$B$38,"ウ 中学校",$BF$9:$BF$38,1)</f>
        <v>0</v>
      </c>
      <c r="DM49" s="76">
        <f>COUNTIFS($B$9:$B$38,"ウ 中学校",$BG$9:$BG$38,1)</f>
        <v>0</v>
      </c>
      <c r="DN49" s="76">
        <f>COUNTIFS($B$9:$B$38,"ウ 中学校",$BH$9:$BH$38,1)</f>
        <v>0</v>
      </c>
      <c r="DO49" s="76">
        <f>COUNTIFS($B$9:$B$38,"ウ 中学校",$BI$9:$BI$38,1)</f>
        <v>0</v>
      </c>
      <c r="DP49" s="76">
        <f>COUNTIFS($B$9:$B$38,"ウ 中学校",$BJ$9:$BJ$38,1)</f>
        <v>0</v>
      </c>
      <c r="DQ49" s="76">
        <f>COUNTIFS($B$9:$B$38,"ウ 中学校",$BK$9:$BK$38,1)</f>
        <v>0</v>
      </c>
      <c r="DR49" s="76">
        <f>COUNTIFS($B$9:$B$38,"ウ 中学校",$BL$9:$BL$38,1)</f>
        <v>0</v>
      </c>
      <c r="DS49" s="76">
        <f>COUNTIFS($B$9:$B$38,"ウ 中学校",$BM$9:$BM$38,1)</f>
        <v>0</v>
      </c>
      <c r="DT49" s="76">
        <f>COUNTIFS($B$9:$B$38,"ウ 中学校",$BN$9:$BN$38,1)</f>
        <v>0</v>
      </c>
    </row>
    <row r="50" spans="69:124" ht="21.75" customHeight="1">
      <c r="BQ50" s="74" t="s">
        <v>76</v>
      </c>
      <c r="BR50" s="76">
        <f>INT(SUMPRODUCT(1/SUBSTITUTE(COUNTIFS(B9:B38,"エ 義務教育学校",E9:E38,E9:E38),0,31)))</f>
        <v>0</v>
      </c>
      <c r="BS50" s="76">
        <f>COUNTIF($B$9:$B$38,"エ 義務教育学校")</f>
        <v>0</v>
      </c>
      <c r="BT50" s="76">
        <f>COUNTIFS(B9:B38,"エ 義務教育学校",C9:C38,"ア ２０歳代")</f>
        <v>0</v>
      </c>
      <c r="BU50" s="76">
        <f>COUNTIFS(B9:B38,"エ 義務教育学校",C9:C38,"イ ３０歳代")</f>
        <v>0</v>
      </c>
      <c r="BV50" s="76">
        <f>COUNTIFS(B9:B38,"エ 義務教育学校",C9:C38,"ウ ４０歳代")</f>
        <v>0</v>
      </c>
      <c r="BW50" s="76">
        <f>COUNTIFS(B9:B38,"エ 義務教育学校",C9:C38,"エ ５０歳代")</f>
        <v>0</v>
      </c>
      <c r="BX50" s="76">
        <f>COUNTIFS(B9:B38,"エ 義務教育学校",C9:C38,"オ ６０歳代以上")</f>
        <v>0</v>
      </c>
      <c r="BY50" s="76">
        <f>COUNTIFS($B$9:$B$38,"エ 義務教育学校",$D$9:$D$38,"ア 男性")</f>
        <v>0</v>
      </c>
      <c r="BZ50" s="76">
        <f>COUNTIFS($B$9:$B$38,"エ 義務教育学校",$D$9:$D$38,"イ 女性")</f>
        <v>0</v>
      </c>
      <c r="CA50" s="76">
        <f>SUM(S9:AA38)</f>
        <v>0</v>
      </c>
      <c r="CB50" s="77">
        <f>COUNTIFS($B$9:$B$38,"エ 義務教育学校",$AZ$9:$AZ$38,"ア 授業中・保育中")</f>
        <v>0</v>
      </c>
      <c r="CC50" s="77">
        <f>COUNTIFS($B$9:$B$38,"エ 義務教育学校",$AZ$9:$AZ$38,"イ 放課後")</f>
        <v>0</v>
      </c>
      <c r="CD50" s="77">
        <f>COUNTIFS($B$9:$B$38,"エ 義務教育学校",$AZ$9:$AZ$38,"ウ 休み時間")</f>
        <v>0</v>
      </c>
      <c r="CE50" s="77">
        <f>COUNTIFS($B$9:$B$38,"エ 義務教育学校",$AZ$9:$AZ$38,"エ 部活動")</f>
        <v>0</v>
      </c>
      <c r="CF50" s="77">
        <f>COUNTIFS($B$9:$B$38,"エ 義務教育学校",$AZ$9:$AZ$38,"オ 学校行事")</f>
        <v>0</v>
      </c>
      <c r="CG50" s="77">
        <f>COUNTIFS($B$9:$B$38,"エ 義務教育学校",$AZ$9:$AZ$38,"カ ホームルーム")</f>
        <v>0</v>
      </c>
      <c r="CH50" s="77">
        <f>COUNTIFS($B$9:$B$38,"エ 義務教育学校",$AZ$9:$AZ$38,"キ その他")</f>
        <v>0</v>
      </c>
      <c r="CI50" s="77">
        <f>COUNTIFS($B$9:$B$38,"エ 義務教育学校",$BA$9:$BA$38,"ア 教室・保育室")</f>
        <v>0</v>
      </c>
      <c r="CJ50" s="77">
        <f>COUNTIFS($B$9:$B$38,"エ 義務教育学校",$BA$9:$BA$38,"イ 職員室")</f>
        <v>0</v>
      </c>
      <c r="CK50" s="77">
        <f>COUNTIFS($B$9:$B$38,"エ 義務教育学校",$BA$9:$BA$38,"ウ 運動場・園庭、体育館・遊戯室")</f>
        <v>0</v>
      </c>
      <c r="CL50" s="77">
        <f>COUNTIFS($B$9:$B$38,"エ 義務教育学校",$BA$9:$BA$38,"エ 生徒指導室")</f>
        <v>0</v>
      </c>
      <c r="CM50" s="77">
        <f>COUNTIFS($B$9:$B$38,"エ 義務教育学校",$BA$9:$BA$38,"オ 廊下、階段")</f>
        <v>0</v>
      </c>
      <c r="CN50" s="77">
        <f>COUNTIFS($B$9:$B$38,"エ 義務教育学校",$BA$9:$BA$38,"カ その他")</f>
        <v>0</v>
      </c>
      <c r="CO50" s="77">
        <f>COUNTIFS($B$9:$B$38,"エ 義務教育学校",$BB$9:$BB$38,"ア 素手で殴る・叩く")</f>
        <v>0</v>
      </c>
      <c r="CP50" s="77">
        <f>COUNTIFS($B$9:$B$38,"エ 義務教育学校",$BB$9:$BB$38,"イ 棒などで殴る・叩く")</f>
        <v>0</v>
      </c>
      <c r="CQ50" s="77">
        <f>COUNTIFS($B$9:$B$38,"エ 義務教育学校",$BB$9:$BB$38,"ウ 蹴る・踏みつける")</f>
        <v>0</v>
      </c>
      <c r="CR50" s="77">
        <f>COUNTIFS($B$9:$B$38,"エ 義務教育学校",$BB$9:$BB$38,"エ 投げる・突き飛ばす・転倒させる")</f>
        <v>0</v>
      </c>
      <c r="CS50" s="77">
        <f>COUNTIFS($B$9:$B$38,"エ 義務教育学校",$BB$9:$BB$38,"オ つねる・ひっかく")</f>
        <v>0</v>
      </c>
      <c r="CT50" s="77">
        <f>COUNTIFS($B$9:$B$38,"エ 義務教育学校",$BB$9:$BB$38,"カ 物をぶつける・投げつける")</f>
        <v>0</v>
      </c>
      <c r="CU50" s="77">
        <f>COUNTIFS($B$9:$B$38,"エ 義務教育学校",$BB$9:$BB$38,"キ 長時間教室等に留め置く")</f>
        <v>0</v>
      </c>
      <c r="CV50" s="77">
        <f>COUNTIFS($B$9:$B$38,"エ 義務教育学校",$BB$9:$BB$38,"ク 長時間正座など一定の姿勢を保持させる")</f>
        <v>0</v>
      </c>
      <c r="CW50" s="77">
        <f>COUNTIFS($B$9:$B$38,"エ 義務教育学校",$BB$9:$BB$38,"ケ その他")</f>
        <v>0</v>
      </c>
      <c r="CX50" s="98">
        <f>COUNTIFS($B$9:$B$38,"エ 義務教育学校",$BC$9:$BC$38,"ア 死亡")</f>
        <v>0</v>
      </c>
      <c r="CY50" s="77">
        <f>COUNTIFS($B$9:$B$38,"エ 義務教育学校",$BC$9:$BC$38,"イ 骨折・挫折など")</f>
        <v>0</v>
      </c>
      <c r="CZ50" s="77">
        <f>COUNTIFS($B$9:$B$38,"エ 義務教育学校",$BC$9:$BC$38,"ウ 鼓膜損傷")</f>
        <v>0</v>
      </c>
      <c r="DA50" s="77">
        <f>COUNTIFS($B$9:$B$38,"エ 義務教育学校",$BC$9:$BC$38,"エ 外傷")</f>
        <v>0</v>
      </c>
      <c r="DB50" s="77">
        <f>COUNTIFS($B$9:$B$38,"エ 義務教育学校",$BC$9:$BC$38,"オ 打撲（頭）")</f>
        <v>0</v>
      </c>
      <c r="DC50" s="77">
        <f>COUNTIFS($B$9:$B$38,"エ 義務教育学校",$BC$9:$BC$38,"カ 打撲（顔）")</f>
        <v>0</v>
      </c>
      <c r="DD50" s="77">
        <f>COUNTIFS($B$9:$B$38,"エ 義務教育学校",$BC$9:$BC$38,"キ 打撲（足）")</f>
        <v>0</v>
      </c>
      <c r="DE50" s="77">
        <f>COUNTIFS($B$9:$B$38,"エ 義務教育学校",$BC$9:$BC$38,"ク 打撲（オ～キ以外）")</f>
        <v>0</v>
      </c>
      <c r="DF50" s="77">
        <f>COUNTIFS($B$9:$B$38,"エ 義務教育学校",$BC$9:$BC$38,"ケ 鼻血")</f>
        <v>0</v>
      </c>
      <c r="DG50" s="77">
        <f>COUNTIFS($B$9:$B$38,"エ 義務教育学校",$BC$9:$BC$38,"コ 髪を切られる")</f>
        <v>0</v>
      </c>
      <c r="DH50" s="77">
        <f>COUNTIFS($B$9:$B$38,"エ 義務教育学校",$BC$9:$BC$38,"サ その他")</f>
        <v>0</v>
      </c>
      <c r="DI50" s="77">
        <f>COUNTIFS($B$9:$B$38,"エ 義務教育学校",$BC$9:$BC$38,"シ 傷害なし")</f>
        <v>0</v>
      </c>
      <c r="DJ50" s="76">
        <f>COUNTIFS($B$9:$B$38,"エ 義務教育学校",$BD$9:$BD$38,1)</f>
        <v>0</v>
      </c>
      <c r="DK50" s="76">
        <f>COUNTIFS($B$9:$B$38,"エ 義務教育学校",$BE$9:$BE$38,1)</f>
        <v>0</v>
      </c>
      <c r="DL50" s="76">
        <f>COUNTIFS($B$9:$B$38,"エ 義務教育学校",$BF$9:$BF$38,1)</f>
        <v>0</v>
      </c>
      <c r="DM50" s="76">
        <f>COUNTIFS($B$9:$B$38,"エ 義務教育学校",$BG$9:$BG$38,1)</f>
        <v>0</v>
      </c>
      <c r="DN50" s="76">
        <f>COUNTIFS($B$9:$B$38,"エ 義務教育学校",$BH$9:$BH$38,1)</f>
        <v>0</v>
      </c>
      <c r="DO50" s="76">
        <f>COUNTIFS($B$9:$B$38,"エ 義務教育学校",$BI$9:$BI$38,1)</f>
        <v>0</v>
      </c>
      <c r="DP50" s="76">
        <f>COUNTIFS($B$9:$B$38,"エ 義務教育学校",$BJ$9:$BJ$38,1)</f>
        <v>0</v>
      </c>
      <c r="DQ50" s="76">
        <f>COUNTIFS($B$9:$B$38,"エ 義務教育学校",$BK$9:$BK$38,1)</f>
        <v>0</v>
      </c>
      <c r="DR50" s="76">
        <f>COUNTIFS($B$9:$B$38,"エ 義務教育学校",$BL$9:$BL$38,1)</f>
        <v>0</v>
      </c>
      <c r="DS50" s="76">
        <f>COUNTIFS($B$9:$B$38,"エ 義務教育学校",$BM$9:$BM$38,1)</f>
        <v>0</v>
      </c>
      <c r="DT50" s="76">
        <f>COUNTIFS($B$9:$B$38,"エ 義務教育学校",$BN$9:$BN$38,1)</f>
        <v>0</v>
      </c>
    </row>
    <row r="51" spans="69:124" ht="21.75" customHeight="1">
      <c r="BQ51" s="74" t="s">
        <v>77</v>
      </c>
      <c r="BR51" s="76">
        <f>INT(SUMPRODUCT(1/SUBSTITUTE(COUNTIFS(B9:B38,"オ 高等学校",E9:E38,E9:E38),0,31)))</f>
        <v>0</v>
      </c>
      <c r="BS51" s="76">
        <f>COUNTIF($B$9:$B$38,"オ 高等学校")</f>
        <v>0</v>
      </c>
      <c r="BT51" s="76">
        <f>COUNTIFS(B9:B38,"オ 高等学校",C9:C38,"ア ２０歳代")</f>
        <v>0</v>
      </c>
      <c r="BU51" s="76">
        <f>COUNTIFS(B9:B38,"オ 高等学校",C9:C38,"イ ３０歳代")</f>
        <v>0</v>
      </c>
      <c r="BV51" s="76">
        <f>COUNTIFS(B9:B38,"オ 高等学校",C9:C38,"ウ ４０歳代")</f>
        <v>0</v>
      </c>
      <c r="BW51" s="76">
        <f>COUNTIFS(B9:B38,"オ 高等学校",C9:C38,"エ ５０歳代")</f>
        <v>0</v>
      </c>
      <c r="BX51" s="76">
        <f>COUNTIFS(B9:B38,"オ 高等学校",C9:C38,"オ ６０歳代以上")</f>
        <v>0</v>
      </c>
      <c r="BY51" s="76">
        <f>COUNTIFS($B$9:$B$38,"オ 高等学校",$D$9:$D$38,"ア 男性")</f>
        <v>0</v>
      </c>
      <c r="BZ51" s="76">
        <f>COUNTIFS($B$9:$B$38,"オ 高等学校",$D$9:$D$38,"イ 女性")</f>
        <v>0</v>
      </c>
      <c r="CA51" s="76">
        <f>SUM(AB9:AD38)</f>
        <v>0</v>
      </c>
      <c r="CB51" s="77">
        <f>COUNTIFS($B$9:$B$38,"オ 高等学校",$AZ$9:$AZ$38,"ア 授業中・保育中")</f>
        <v>0</v>
      </c>
      <c r="CC51" s="77">
        <f>COUNTIFS($B$9:$B$38,"オ 高等学校",$AZ$9:$AZ$38,"イ 放課後")</f>
        <v>0</v>
      </c>
      <c r="CD51" s="77">
        <f>COUNTIFS($B$9:$B$38,"オ 高等学校",$AZ$9:$AZ$38,"ウ 休み時間")</f>
        <v>0</v>
      </c>
      <c r="CE51" s="77">
        <f>COUNTIFS($B$9:$B$38,"オ 高等学校",$AZ$9:$AZ$38,"エ 部活動")</f>
        <v>0</v>
      </c>
      <c r="CF51" s="77">
        <f>COUNTIFS($B$9:$B$38,"オ 高等学校",$AZ$9:$AZ$38,"オ 学校行事")</f>
        <v>0</v>
      </c>
      <c r="CG51" s="77">
        <f>COUNTIFS($B$9:$B$38,"オ 高等学校",$AZ$9:$AZ$38,"カ ホームルーム")</f>
        <v>0</v>
      </c>
      <c r="CH51" s="77">
        <f>COUNTIFS($B$9:$B$38,"オ 高等学校",$AZ$9:$AZ$38,"キ その他")</f>
        <v>0</v>
      </c>
      <c r="CI51" s="77">
        <f>COUNTIFS($B$9:$B$38,"オ 高等学校",$BA$9:$BA$38,"ア 教室・保育室")</f>
        <v>0</v>
      </c>
      <c r="CJ51" s="77">
        <f>COUNTIFS($B$9:$B$38,"オ 高等学校",$BA$9:$BA$38,"イ 職員室")</f>
        <v>0</v>
      </c>
      <c r="CK51" s="77">
        <f>COUNTIFS($B$9:$B$38,"オ 高等学校",$BA$9:$BA$38,"ウ 運動場・園庭、体育館・遊戯室")</f>
        <v>0</v>
      </c>
      <c r="CL51" s="77">
        <f>COUNTIFS($B$9:$B$38,"オ 高等学校",$BA$9:$BA$38,"エ 生徒指導室")</f>
        <v>0</v>
      </c>
      <c r="CM51" s="77">
        <f>COUNTIFS($B$9:$B$38,"オ 高等学校",$BA$9:$BA$38,"オ 廊下、階段")</f>
        <v>0</v>
      </c>
      <c r="CN51" s="77">
        <f>COUNTIFS($B$9:$B$38,"オ 高等学校",$BA$9:$BA$38,"カ その他")</f>
        <v>0</v>
      </c>
      <c r="CO51" s="77">
        <f>COUNTIFS($B$9:$B$38,"オ 高等学校",$BB$9:$BB$38,"ア 素手で殴る・叩く")</f>
        <v>0</v>
      </c>
      <c r="CP51" s="77">
        <f>COUNTIFS($B$9:$B$38,"オ 高等学校",$BB$9:$BB$38,"イ 棒などで殴る・叩く")</f>
        <v>0</v>
      </c>
      <c r="CQ51" s="77">
        <f>COUNTIFS($B$9:$B$38,"オ 高等学校",$BB$9:$BB$38,"ウ 蹴る・踏みつける")</f>
        <v>0</v>
      </c>
      <c r="CR51" s="77">
        <f>COUNTIFS($B$9:$B$38,"オ 高等学校",$BB$9:$BB$38,"エ 投げる・突き飛ばす・転倒させる")</f>
        <v>0</v>
      </c>
      <c r="CS51" s="77">
        <f>COUNTIFS($B$9:$B$38,"オ 高等学校",$BB$9:$BB$38,"オ つねる・ひっかく")</f>
        <v>0</v>
      </c>
      <c r="CT51" s="77">
        <f>COUNTIFS($B$9:$B$38,"オ 高等学校",$BB$9:$BB$38,"カ 物をぶつける・投げつける")</f>
        <v>0</v>
      </c>
      <c r="CU51" s="77">
        <f>COUNTIFS($B$9:$B$38,"オ 高等学校",$BB$9:$BB$38,"キ 長時間教室等に留め置く")</f>
        <v>0</v>
      </c>
      <c r="CV51" s="77">
        <f>COUNTIFS($B$9:$B$38,"オ 高等学校",$BB$9:$BB$38,"ク 長時間正座など一定の姿勢を保持させる")</f>
        <v>0</v>
      </c>
      <c r="CW51" s="77">
        <f>COUNTIFS($B$9:$B$38,"オ 高等学校",$BB$9:$BB$38,"ケ その他")</f>
        <v>0</v>
      </c>
      <c r="CX51" s="98">
        <f>COUNTIFS($B$9:$B$38,"オ 高等学校",$BC$9:$BC$38,"ア 死亡")</f>
        <v>0</v>
      </c>
      <c r="CY51" s="77">
        <f>COUNTIFS($B$9:$B$38,"オ 高等学校",$BC$9:$BC$38,"イ 骨折・挫折など")</f>
        <v>0</v>
      </c>
      <c r="CZ51" s="77">
        <f>COUNTIFS($B$9:$B$38,"オ 高等学校",$BC$9:$BC$38,"ウ 鼓膜損傷")</f>
        <v>0</v>
      </c>
      <c r="DA51" s="77">
        <f>COUNTIFS($B$9:$B$38,"オ 高等学校",$BC$9:$BC$38,"エ 外傷")</f>
        <v>0</v>
      </c>
      <c r="DB51" s="77">
        <f>COUNTIFS($B$9:$B$38,"オ 高等学校",$BC$9:$BC$38,"オ 打撲（頭）")</f>
        <v>0</v>
      </c>
      <c r="DC51" s="77">
        <f>COUNTIFS($B$9:$B$38,"オ 高等学校",$BC$9:$BC$38,"カ 打撲（顔）")</f>
        <v>0</v>
      </c>
      <c r="DD51" s="77">
        <f>COUNTIFS($B$9:$B$38,"オ 高等学校",$BC$9:$BC$38,"キ 打撲（足）")</f>
        <v>0</v>
      </c>
      <c r="DE51" s="77">
        <f>COUNTIFS($B$9:$B$38,"オ 高等学校",$BC$9:$BC$38,"ク 打撲（オ～キ以外）")</f>
        <v>0</v>
      </c>
      <c r="DF51" s="77">
        <f>COUNTIFS($B$9:$B$38,"オ 高等学校",$BC$9:$BC$38,"ケ 鼻血")</f>
        <v>0</v>
      </c>
      <c r="DG51" s="77">
        <f>COUNTIFS($B$9:$B$38,"オ 高等学校",$BC$9:$BC$38,"コ 髪を切られる")</f>
        <v>0</v>
      </c>
      <c r="DH51" s="77">
        <f>COUNTIFS($B$9:$B$38,"オ 高等学校",$BC$9:$BC$38,"サ その他")</f>
        <v>0</v>
      </c>
      <c r="DI51" s="77">
        <f>COUNTIFS($B$9:$B$38,"オ 高等学校",$BC$9:$BC$38,"シ 傷害なし")</f>
        <v>0</v>
      </c>
      <c r="DJ51" s="76">
        <f>COUNTIFS($B$9:$B$38,"オ 高等学校",$BD$9:$BD$38,1)</f>
        <v>0</v>
      </c>
      <c r="DK51" s="76">
        <f>COUNTIFS($B$9:$B$38,"オ 高等学校",$BE$9:$BE$38,1)</f>
        <v>0</v>
      </c>
      <c r="DL51" s="76">
        <f>COUNTIFS($B$9:$B$38,"オ 高等学校",$BF$9:$BF$38,1)</f>
        <v>0</v>
      </c>
      <c r="DM51" s="76">
        <f>COUNTIFS($B$9:$B$38,"オ 高等学校",$BG$9:$BG$38,1)</f>
        <v>0</v>
      </c>
      <c r="DN51" s="76">
        <f>COUNTIFS($B$9:$B$38,"オ 高等学校",$BH$9:$BH$38,1)</f>
        <v>0</v>
      </c>
      <c r="DO51" s="76">
        <f>COUNTIFS($B$9:$B$38,"オ 高等学校",$BI$9:$BI$38,1)</f>
        <v>0</v>
      </c>
      <c r="DP51" s="76">
        <f>COUNTIFS($B$9:$B$38,"オ 高等学校",$BJ$9:$BJ$38,1)</f>
        <v>0</v>
      </c>
      <c r="DQ51" s="76">
        <f>COUNTIFS($B$9:$B$38,"オ 高等学校",$BK$9:$BK$38,1)</f>
        <v>0</v>
      </c>
      <c r="DR51" s="76">
        <f>COUNTIFS($B$9:$B$38,"オ 高等学校",$BL$9:$BL$38,1)</f>
        <v>0</v>
      </c>
      <c r="DS51" s="76">
        <f>COUNTIFS($B$9:$B$38,"オ 高等学校",$BM$9:$BM$38,1)</f>
        <v>0</v>
      </c>
      <c r="DT51" s="76">
        <f>COUNTIFS($B$9:$B$38,"オ 高等学校",$BN$9:$BN$38,1)</f>
        <v>0</v>
      </c>
    </row>
    <row r="52" spans="69:124" ht="21.75" customHeight="1">
      <c r="BQ52" s="74" t="s">
        <v>78</v>
      </c>
      <c r="BR52" s="76">
        <f>INT(SUMPRODUCT(1/SUBSTITUTE(COUNTIFS(B9:B38,"カ 中等教育学校",E9:E38,E9:E38),0,31)))</f>
        <v>0</v>
      </c>
      <c r="BS52" s="76">
        <f>COUNTIF($B$9:$B$38,"カ 中等教育学校")</f>
        <v>0</v>
      </c>
      <c r="BT52" s="76">
        <f>COUNTIFS(B9:B38,"カ 中等教育学校",C9:C38,"ア ２０歳代")</f>
        <v>0</v>
      </c>
      <c r="BU52" s="76">
        <f>COUNTIFS(B9:B38,"カ 中等教育学校",C9:C38,"イ ３０歳代")</f>
        <v>0</v>
      </c>
      <c r="BV52" s="76">
        <f>COUNTIFS(B9:B38,"カ 中等教育学校",C9:C38,"ウ ４０歳代")</f>
        <v>0</v>
      </c>
      <c r="BW52" s="76">
        <f>COUNTIFS(B9:B38,"カ 中等教育学校",C9:C38,"エ ５０歳代")</f>
        <v>0</v>
      </c>
      <c r="BX52" s="76">
        <f>COUNTIFS(B9:B38,"カ 中等教育学校",C9:C38,"オ ６０歳代以上")</f>
        <v>0</v>
      </c>
      <c r="BY52" s="76">
        <f>COUNTIFS($B$9:$B$38,"カ 中等教育学校",$D$9:$D$38,"ア 男性")</f>
        <v>0</v>
      </c>
      <c r="BZ52" s="76">
        <f>COUNTIFS($B$9:$B$38,"カ 中等教育学校",$D$9:$D$38,"イ 女性")</f>
        <v>0</v>
      </c>
      <c r="CA52" s="76">
        <f>SUM(AE9:AJ38)</f>
        <v>0</v>
      </c>
      <c r="CB52" s="77">
        <f>COUNTIFS($B$9:$B$38,"カ 中等教育学校",$AZ$9:$AZ$38,"ア 授業中・保育中")</f>
        <v>0</v>
      </c>
      <c r="CC52" s="77">
        <f>COUNTIFS($B$9:$B$38,"カ 中等教育学校",$AZ$9:$AZ$38,"イ 放課後")</f>
        <v>0</v>
      </c>
      <c r="CD52" s="77">
        <f>COUNTIFS($B$9:$B$38,"カ 中等教育学校",$AZ$9:$AZ$38,"ウ 休み時間")</f>
        <v>0</v>
      </c>
      <c r="CE52" s="77">
        <f>COUNTIFS($B$9:$B$38,"カ 中等教育学校",$AZ$9:$AZ$38,"エ 部活動")</f>
        <v>0</v>
      </c>
      <c r="CF52" s="77">
        <f>COUNTIFS($B$9:$B$38,"カ 中等教育学校",$AZ$9:$AZ$38,"オ 学校行事")</f>
        <v>0</v>
      </c>
      <c r="CG52" s="77">
        <f>COUNTIFS($B$9:$B$38,"カ 中等教育学校",$AZ$9:$AZ$38,"カ ホームルーム")</f>
        <v>0</v>
      </c>
      <c r="CH52" s="77">
        <f>COUNTIFS($B$9:$B$38,"カ 中等教育学校",$AZ$9:$AZ$38,"キ その他")</f>
        <v>0</v>
      </c>
      <c r="CI52" s="77">
        <f>COUNTIFS($B$9:$B$38,"カ 中等教育学校",$BA$9:$BA$38,"ア 教室・保育室")</f>
        <v>0</v>
      </c>
      <c r="CJ52" s="77">
        <f>COUNTIFS($B$9:$B$38,"カ 中等教育学校",$BA$9:$BA$38,"イ 職員室")</f>
        <v>0</v>
      </c>
      <c r="CK52" s="77">
        <f>COUNTIFS($B$9:$B$38,"カ 中等教育学校",$BA$9:$BA$38,"ウ 運動場・園庭、体育館・遊戯室")</f>
        <v>0</v>
      </c>
      <c r="CL52" s="77">
        <f>COUNTIFS($B$9:$B$38,"カ 中等教育学校",$BA$9:$BA$38,"エ 生徒指導室")</f>
        <v>0</v>
      </c>
      <c r="CM52" s="77">
        <f>COUNTIFS($B$9:$B$38,"カ 中等教育学校",$BA$9:$BA$38,"オ 廊下、階段")</f>
        <v>0</v>
      </c>
      <c r="CN52" s="77">
        <f>COUNTIFS($B$9:$B$38,"カ 中等教育学校",$BA$9:$BA$38,"カ その他")</f>
        <v>0</v>
      </c>
      <c r="CO52" s="77">
        <f>COUNTIFS($B$9:$B$38,"カ 中等教育学校",$BB$9:$BB$38,"ア 素手で殴る・叩く")</f>
        <v>0</v>
      </c>
      <c r="CP52" s="77">
        <f>COUNTIFS($B$9:$B$38,"カ 中等教育学校",$BB$9:$BB$38,"イ 棒などで殴る・叩く")</f>
        <v>0</v>
      </c>
      <c r="CQ52" s="77">
        <f>COUNTIFS($B$9:$B$38,"カ 中等教育学校",$BB$9:$BB$38,"ウ 蹴る・踏みつける")</f>
        <v>0</v>
      </c>
      <c r="CR52" s="77">
        <f>COUNTIFS($B$9:$B$38,"カ 中等教育学校",$BB$9:$BB$38,"エ 投げる・突き飛ばす・転倒させる")</f>
        <v>0</v>
      </c>
      <c r="CS52" s="77">
        <f>COUNTIFS($B$9:$B$38,"カ 中等教育学校",$BB$9:$BB$38,"オ つねる・ひっかく")</f>
        <v>0</v>
      </c>
      <c r="CT52" s="77">
        <f>COUNTIFS($B$9:$B$38,"カ 中等教育学校",$BB$9:$BB$38,"カ 物をぶつける・投げつける")</f>
        <v>0</v>
      </c>
      <c r="CU52" s="77">
        <f>COUNTIFS($B$9:$B$38,"カ 中等教育学校",$BB$9:$BB$38,"キ 長時間教室等に留め置く")</f>
        <v>0</v>
      </c>
      <c r="CV52" s="77">
        <f>COUNTIFS($B$9:$B$38,"カ 中等教育学校",$BB$9:$BB$38,"ク 長時間正座など一定の姿勢を保持させる")</f>
        <v>0</v>
      </c>
      <c r="CW52" s="77">
        <f>COUNTIFS($B$9:$B$38,"カ 中等教育学校",$BB$9:$BB$38,"ケ その他")</f>
        <v>0</v>
      </c>
      <c r="CX52" s="98">
        <f>COUNTIFS($B$9:$B$38,"カ 中等教育学校",$BC$9:$BC$38,"ア 死亡")</f>
        <v>0</v>
      </c>
      <c r="CY52" s="77">
        <f>COUNTIFS($B$9:$B$38,"カ 中等教育学校",$BC$9:$BC$38,"イ 骨折・挫折など")</f>
        <v>0</v>
      </c>
      <c r="CZ52" s="77">
        <f>COUNTIFS($B$9:$B$38,"カ 中等教育学校",$BC$9:$BC$38,"ウ 鼓膜損傷")</f>
        <v>0</v>
      </c>
      <c r="DA52" s="77">
        <f>COUNTIFS($B$9:$B$38,"カ 中等教育学校",$BC$9:$BC$38,"エ 外傷")</f>
        <v>0</v>
      </c>
      <c r="DB52" s="77">
        <f>COUNTIFS($B$9:$B$38,"カ 中等教育学校",$BC$9:$BC$38,"オ 打撲（頭）")</f>
        <v>0</v>
      </c>
      <c r="DC52" s="77">
        <f>COUNTIFS($B$9:$B$38,"カ 中等教育学校",$BC$9:$BC$38,"カ 打撲（顔）")</f>
        <v>0</v>
      </c>
      <c r="DD52" s="77">
        <f>COUNTIFS($B$9:$B$38,"カ 中等教育学校",$BC$9:$BC$38,"キ 打撲（足）")</f>
        <v>0</v>
      </c>
      <c r="DE52" s="77">
        <f>COUNTIFS($B$9:$B$38,"カ 中等教育学校",$BC$9:$BC$38,"ク 打撲（オ～キ以外）")</f>
        <v>0</v>
      </c>
      <c r="DF52" s="77">
        <f>COUNTIFS($B$9:$B$38,"カ 中等教育学校",$BC$9:$BC$38,"ケ 鼻血")</f>
        <v>0</v>
      </c>
      <c r="DG52" s="77">
        <f>COUNTIFS($B$9:$B$38,"カ 中等教育学校",$BC$9:$BC$38,"コ 髪を切られる")</f>
        <v>0</v>
      </c>
      <c r="DH52" s="77">
        <f>COUNTIFS($B$9:$B$38,"カ 中等教育学校",$BC$9:$BC$38,"サ その他")</f>
        <v>0</v>
      </c>
      <c r="DI52" s="77">
        <f>COUNTIFS($B$9:$B$38,"カ 中等教育学校",$BC$9:$BC$38,"シ 傷害なし")</f>
        <v>0</v>
      </c>
      <c r="DJ52" s="76">
        <f>COUNTIFS($B$9:$B$38,"カ 中等教育学校",$BD$9:$BD$38,1)</f>
        <v>0</v>
      </c>
      <c r="DK52" s="76">
        <f>COUNTIFS($B$9:$B$38,"カ 中等教育学校",$BE$9:$BE$38,1)</f>
        <v>0</v>
      </c>
      <c r="DL52" s="76">
        <f>COUNTIFS($B$9:$B$38,"カ 中等教育学校",$BF$9:$BF$38,1)</f>
        <v>0</v>
      </c>
      <c r="DM52" s="76">
        <f>COUNTIFS($B$9:$B$38,"カ 中等教育学校",$BG$9:$BG$38,1)</f>
        <v>0</v>
      </c>
      <c r="DN52" s="76">
        <f>COUNTIFS($B$9:$B$38,"カ 中等教育学校",$BH$9:$BH$38,1)</f>
        <v>0</v>
      </c>
      <c r="DO52" s="76">
        <f>COUNTIFS($B$9:$B$38,"カ 中等教育学校",$BI$9:$BI$38,1)</f>
        <v>0</v>
      </c>
      <c r="DP52" s="76">
        <f>COUNTIFS($B$9:$B$38,"カ 中等教育学校",$BJ$9:$BJ$38,1)</f>
        <v>0</v>
      </c>
      <c r="DQ52" s="76">
        <f>COUNTIFS($B$9:$B$38,"カ 中等教育学校",$BK$9:$BK$38,1)</f>
        <v>0</v>
      </c>
      <c r="DR52" s="76">
        <f>COUNTIFS($B$9:$B$38,"カ 中等教育学校",$BL$9:$BL$38,1)</f>
        <v>0</v>
      </c>
      <c r="DS52" s="76">
        <f>COUNTIFS($B$9:$B$38,"カ 中等教育学校",$BM$9:$BM$38,1)</f>
        <v>0</v>
      </c>
      <c r="DT52" s="76">
        <f>COUNTIFS($B$9:$B$38,"カ 中等教育学校",$BN$9:$BN$38,1)</f>
        <v>0</v>
      </c>
    </row>
    <row r="53" spans="69:124" ht="21.75" customHeight="1">
      <c r="BQ53" s="74" t="s">
        <v>79</v>
      </c>
      <c r="BR53" s="76">
        <f>INT(SUMPRODUCT(1/SUBSTITUTE(COUNTIFS(B9:B38,"キ 特別支援学校",E9:E38,E9:E38),0,31)))</f>
        <v>0</v>
      </c>
      <c r="BS53" s="76">
        <f>COUNTIF($B$9:$B$38,"キ 特別支援学校")</f>
        <v>0</v>
      </c>
      <c r="BT53" s="76">
        <f>COUNTIFS(B9:B38,"キ 特別支援学校",C9:C38,"ア ２０歳代")</f>
        <v>0</v>
      </c>
      <c r="BU53" s="76">
        <f>COUNTIFS(B9:B38,"キ 特別支援学校",C9:C38,"イ ３０歳代")</f>
        <v>0</v>
      </c>
      <c r="BV53" s="76">
        <f>COUNTIFS(B9:B38,"キ 特別支援学校",C9:C38,"ウ ４０歳代")</f>
        <v>0</v>
      </c>
      <c r="BW53" s="76">
        <f>COUNTIFS(B9:B38,"キ 特別支援学校",C9:C38,"エ ５０歳代")</f>
        <v>0</v>
      </c>
      <c r="BX53" s="76">
        <f>COUNTIFS(B9:B38,"キ 特別支援学校",C9:C38,"オ ６０歳代以上")</f>
        <v>0</v>
      </c>
      <c r="BY53" s="76">
        <f>COUNTIFS($B$9:$B$38,"キ 特別支援学校",$D$9:$D$38,"ア 男性")</f>
        <v>0</v>
      </c>
      <c r="BZ53" s="76">
        <f>COUNTIFS($B$9:$B$38,"キ 特別支援学校",$D$9:$D$38,"イ 女性")</f>
        <v>0</v>
      </c>
      <c r="CA53" s="76">
        <f>SUM(AK9:AY38)</f>
        <v>0</v>
      </c>
      <c r="CB53" s="77">
        <f>COUNTIFS($B$9:$B$38,"キ 特別支援学校",$AZ$9:$AZ$38,"ア 授業中・保育中")</f>
        <v>0</v>
      </c>
      <c r="CC53" s="77">
        <f>COUNTIFS($B$9:$B$38,"キ 特別支援学校",$AZ$9:$AZ$38,"イ 放課後")</f>
        <v>0</v>
      </c>
      <c r="CD53" s="77">
        <f>COUNTIFS($B$9:$B$38,"キ 特別支援学校",$AZ$9:$AZ$38,"ウ 休み時間")</f>
        <v>0</v>
      </c>
      <c r="CE53" s="77">
        <f>COUNTIFS($B$9:$B$38,"キ 特別支援学校",$AZ$9:$AZ$38,"エ 部活動")</f>
        <v>0</v>
      </c>
      <c r="CF53" s="77">
        <f>COUNTIFS($B$9:$B$38,"キ 特別支援学校",$AZ$9:$AZ$38,"オ 学校行事")</f>
        <v>0</v>
      </c>
      <c r="CG53" s="77">
        <f>COUNTIFS($B$9:$B$38,"キ 特別支援学校",$AZ$9:$AZ$38,"カ ホームルーム")</f>
        <v>0</v>
      </c>
      <c r="CH53" s="77">
        <f>COUNTIFS($B$9:$B$38,"キ 特別支援学校",$AZ$9:$AZ$38,"キ その他")</f>
        <v>0</v>
      </c>
      <c r="CI53" s="77">
        <f>COUNTIFS($B$9:$B$38,"キ 特別支援学校",$BA$9:$BA$38,"ア 教室・保育室")</f>
        <v>0</v>
      </c>
      <c r="CJ53" s="77">
        <f>COUNTIFS($B$9:$B$38,"キ 特別支援学校",$BA$9:$BA$38,"イ 職員室")</f>
        <v>0</v>
      </c>
      <c r="CK53" s="77">
        <f>COUNTIFS($B$9:$B$38,"キ 特別支援学校",$BA$9:$BA$38,"ウ 運動場・園庭、体育館・遊戯室")</f>
        <v>0</v>
      </c>
      <c r="CL53" s="77">
        <f>COUNTIFS($B$9:$B$38,"キ 特別支援学校",$BA$9:$BA$38,"エ 生徒指導室")</f>
        <v>0</v>
      </c>
      <c r="CM53" s="77">
        <f>COUNTIFS($B$9:$B$38,"キ 特別支援学校",$BA$9:$BA$38,"オ 廊下、階段")</f>
        <v>0</v>
      </c>
      <c r="CN53" s="77">
        <f>COUNTIFS($B$9:$B$38,"キ 特別支援学校",$BA$9:$BA$38,"カ その他")</f>
        <v>0</v>
      </c>
      <c r="CO53" s="77">
        <f>COUNTIFS($B$9:$B$38,"キ 特別支援学校",$BB$9:$BB$38,"ア 素手で殴る・叩く")</f>
        <v>0</v>
      </c>
      <c r="CP53" s="77">
        <f>COUNTIFS($B$9:$B$38,"キ 特別支援学校",$BB$9:$BB$38,"イ 棒などで殴る・叩く")</f>
        <v>0</v>
      </c>
      <c r="CQ53" s="77">
        <f>COUNTIFS($B$9:$B$38,"キ 特別支援学校",$BB$9:$BB$38,"ウ 蹴る・踏みつける")</f>
        <v>0</v>
      </c>
      <c r="CR53" s="77">
        <f>COUNTIFS($B$9:$B$38,"キ 特別支援学校",$BB$9:$BB$38,"エ 投げる・突き飛ばす・転倒させる")</f>
        <v>0</v>
      </c>
      <c r="CS53" s="77">
        <f>COUNTIFS($B$9:$B$38,"キ 特別支援学校",$BB$9:$BB$38,"オ つねる・ひっかく")</f>
        <v>0</v>
      </c>
      <c r="CT53" s="77">
        <f>COUNTIFS($B$9:$B$38,"キ 特別支援学校",$BB$9:$BB$38,"カ 物をぶつける・投げつける")</f>
        <v>0</v>
      </c>
      <c r="CU53" s="77">
        <f>COUNTIFS($B$9:$B$38,"キ 特別支援学校",$BB$9:$BB$38,"キ 長時間教室等に留め置く")</f>
        <v>0</v>
      </c>
      <c r="CV53" s="77">
        <f>COUNTIFS($B$9:$B$38,"キ 特別支援学校",$BB$9:$BB$38,"ク 長時間正座など一定の姿勢を保持させる")</f>
        <v>0</v>
      </c>
      <c r="CW53" s="77">
        <f>COUNTIFS($B$9:$B$38,"キ 特別支援学校",$BB$9:$BB$38,"ケ その他")</f>
        <v>0</v>
      </c>
      <c r="CX53" s="98">
        <f>COUNTIFS($B$9:$B$38,"キ 特別支援学校",$BC$9:$BC$38,"ア 死亡")</f>
        <v>0</v>
      </c>
      <c r="CY53" s="77">
        <f>COUNTIFS($B$9:$B$38,"キ 特別支援学校",$BC$9:$BC$38,"イ 骨折・挫折など")</f>
        <v>0</v>
      </c>
      <c r="CZ53" s="77">
        <f>COUNTIFS($B$9:$B$38,"キ 特別支援学校",$BC$9:$BC$38,"ウ 鼓膜損傷")</f>
        <v>0</v>
      </c>
      <c r="DA53" s="77">
        <f>COUNTIFS($B$9:$B$38,"キ 特別支援学校",$BC$9:$BC$38,"エ 外傷")</f>
        <v>0</v>
      </c>
      <c r="DB53" s="77">
        <f>COUNTIFS($B$9:$B$38,"キ 特別支援学校",$BC$9:$BC$38,"オ 打撲（頭）")</f>
        <v>0</v>
      </c>
      <c r="DC53" s="77">
        <f>COUNTIFS($B$9:$B$38,"キ 特別支援学校",$BC$9:$BC$38,"カ 打撲（顔）")</f>
        <v>0</v>
      </c>
      <c r="DD53" s="77">
        <f>COUNTIFS($B$9:$B$38,"キ 特別支援学校",$BC$9:$BC$38,"キ 打撲（足）")</f>
        <v>0</v>
      </c>
      <c r="DE53" s="77">
        <f>COUNTIFS($B$9:$B$38,"キ 特別支援学校",$BC$9:$BC$38,"ク 打撲（オ～キ以外）")</f>
        <v>0</v>
      </c>
      <c r="DF53" s="77">
        <f>COUNTIFS($B$9:$B$38,"キ 特別支援学校",$BC$9:$BC$38,"ケ 鼻血")</f>
        <v>0</v>
      </c>
      <c r="DG53" s="77">
        <f>COUNTIFS($B$9:$B$38,"キ 特別支援学校",$BC$9:$BC$38,"コ 髪を切られる")</f>
        <v>0</v>
      </c>
      <c r="DH53" s="77">
        <f>COUNTIFS($B$9:$B$38,"キ 特別支援学校",$BC$9:$BC$38,"サ その他")</f>
        <v>0</v>
      </c>
      <c r="DI53" s="77">
        <f>COUNTIFS($B$9:$B$38,"キ 特別支援学校",$BC$9:$BC$38,"シ 傷害なし")</f>
        <v>0</v>
      </c>
      <c r="DJ53" s="76">
        <f>COUNTIFS($B$9:$B$38,"キ 特別支援学校",$BD$9:$BD$38,1)</f>
        <v>0</v>
      </c>
      <c r="DK53" s="76">
        <f>COUNTIFS($B$9:$B$38,"キ 特別支援学校",$BE$9:$BE$38,1)</f>
        <v>0</v>
      </c>
      <c r="DL53" s="76">
        <f>COUNTIFS($B$9:$B$38,"キ 特別支援学校",$BF$9:$BF$38,1)</f>
        <v>0</v>
      </c>
      <c r="DM53" s="76">
        <f>COUNTIFS($B$9:$B$38,"キ 特別支援学校",$BG$9:$BG$38,1)</f>
        <v>0</v>
      </c>
      <c r="DN53" s="76">
        <f>COUNTIFS($B$9:$B$38,"キ 特別支援学校",$BH$9:$BH$38,1)</f>
        <v>0</v>
      </c>
      <c r="DO53" s="76">
        <f>COUNTIFS($B$9:$B$38,"キ 特別支援学校",$BI$9:$BI$38,1)</f>
        <v>0</v>
      </c>
      <c r="DP53" s="76">
        <f>COUNTIFS($B$9:$B$38,"キ 特別支援学校",$BJ$9:$BJ$38,1)</f>
        <v>0</v>
      </c>
      <c r="DQ53" s="76">
        <f>COUNTIFS($B$9:$B$38,"キ 特別支援学校",$BK$9:$BK$38,1)</f>
        <v>0</v>
      </c>
      <c r="DR53" s="76">
        <f>COUNTIFS($B$9:$B$38,"キ 特別支援学校",$BL$9:$BL$38,1)</f>
        <v>0</v>
      </c>
      <c r="DS53" s="76">
        <f>COUNTIFS($B$9:$B$38,"キ 特別支援学校",$BM$9:$BM$38,1)</f>
        <v>0</v>
      </c>
      <c r="DT53" s="76">
        <f>COUNTIFS($B$9:$B$38,"キ 特別支援学校",$BN$9:$BN$38,1)</f>
        <v>0</v>
      </c>
    </row>
    <row r="54" spans="69:124" ht="21.75" customHeight="1">
      <c r="BQ54" s="74" t="s">
        <v>97</v>
      </c>
      <c r="BR54" s="78">
        <f>INT(SUMPRODUCT(1/SUBSTITUTE(COUNTIFS(B9:B38,"オ 高等学校",E9:E38,E9:E38,BO9:BO38,"1",BO9:BO38,BO9:BO38),0,31)))</f>
        <v>0</v>
      </c>
      <c r="BS54" s="76">
        <f>COUNTIFS($B$9:$B$38,"オ 高等学校",$BO$9:$BO$38,"1")</f>
        <v>0</v>
      </c>
      <c r="BT54" s="76">
        <f>COUNTIFS(B9:B38,"オ 高等学校",C9:C38,"ア ２０歳代",$BO$9:$BO$38,"1")</f>
        <v>0</v>
      </c>
      <c r="BU54" s="76">
        <f>COUNTIFS(B9:B38,"オ 高等学校",C9:C38,"イ ３０歳代",$BO$9:$BO$38,"1")</f>
        <v>0</v>
      </c>
      <c r="BV54" s="76">
        <f>COUNTIFS(B9:B38,"オ 高等学校",C9:C38,"ウ ４０歳代",$BO$9:$BO$38,"1")</f>
        <v>0</v>
      </c>
      <c r="BW54" s="76">
        <f>COUNTIFS(B9:B38,"オ 高等学校",C9:C38,"エ ５０歳代",$BO$9:$BO$38,"1")</f>
        <v>0</v>
      </c>
      <c r="BX54" s="76">
        <f>COUNTIFS(B9:B38,"オ 高等学校",C9:C38,"オ ６０歳代以上",$BO$9:$BO$38,"1")</f>
        <v>0</v>
      </c>
      <c r="BY54" s="76">
        <f>COUNTIFS($B$9:$B$38,"オ 高等学校",$D$9:$D$38,"ア 男性",$BO$9:$BO$38,"1")</f>
        <v>0</v>
      </c>
      <c r="BZ54" s="76">
        <f>COUNTIFS($B$9:$B$38,"オ 高等学校",$D$9:$D$38,"イ 女性",$BO$9:$BO$38,"1")</f>
        <v>0</v>
      </c>
      <c r="CA54" s="76">
        <f>SUMIF(BO9:BO38,"１",AB9:AB38)+SUMIF(BO9:BO38,"１",AC9:AC38)+SUMIF(BO9:BO38,"１",AD9:AD38)</f>
        <v>0</v>
      </c>
      <c r="CB54" s="77">
        <f>COUNTIFS($B$9:$B$38,"オ 高等学校",AZ9:AZ38,"ア 授業中・保育中",$BO$9:$BO$38,"1")</f>
        <v>0</v>
      </c>
      <c r="CC54" s="77">
        <f>COUNTIFS($B$9:$B$38,"オ 高等学校",AZ9:AZ38,"イ 放課後",$BO$9:$BO$38,"1")</f>
        <v>0</v>
      </c>
      <c r="CD54" s="77">
        <f>COUNTIFS($B$9:$B$38,"オ 高等学校",AZ9:AZ38,"ウ 休み時間",$BO$9:$BO$38,"1")</f>
        <v>0</v>
      </c>
      <c r="CE54" s="77">
        <f>COUNTIFS($B$9:$B$38,"オ 高等学校",AZ9:AZ38,"エ 部活動",$BO$9:$BO$38,"1")</f>
        <v>0</v>
      </c>
      <c r="CF54" s="77">
        <f>COUNTIFS($B$9:$B$38,"オ 高等学校",AZ9:AZ38,"オ 学校行事",$BO$9:$BO$38,"1")</f>
        <v>0</v>
      </c>
      <c r="CG54" s="77">
        <f>COUNTIFS($B$9:$B$38,"オ 高等学校",AZ9:AZ38,"カ ホームルーム",$BO$9:$BO$38,"1")</f>
        <v>0</v>
      </c>
      <c r="CH54" s="77">
        <f>COUNTIFS($B$9:$B$38,"オ 高等学校",AZ9:AZ38,"キ その他",$BO$9:$BO$38,"1")</f>
        <v>0</v>
      </c>
      <c r="CI54" s="77">
        <f>COUNTIFS($B$9:$B$38,"オ 高等学校",$BA$9:$BA$38,"ア 教室・保育室",BO9:BO38,"1")</f>
        <v>0</v>
      </c>
      <c r="CJ54" s="77">
        <f>COUNTIFS($B$9:$B$38,"オ 高等学校",$BA$9:$BA$38,"イ 職員室",BO9:BO38,"1")</f>
        <v>0</v>
      </c>
      <c r="CK54" s="77">
        <f>COUNTIFS($B$9:$B$38,"オ 高等学校",$BA$9:$BA$38,"ウ 運動場・園庭、体育館・遊戯室",BO9:BO38,"1")</f>
        <v>0</v>
      </c>
      <c r="CL54" s="77">
        <f>COUNTIFS($B$9:$B$38,"オ 高等学校",$BA$9:$BA$38,"エ 生徒指導室",BO9:BO38,"1")</f>
        <v>0</v>
      </c>
      <c r="CM54" s="77">
        <f>COUNTIFS($B$9:$B$38,"オ 高等学校",$BA$9:$BA$38,"オ 廊下、階段",BO9:BO38,"1")</f>
        <v>0</v>
      </c>
      <c r="CN54" s="77">
        <f>COUNTIFS($B$9:$B$38,"オ 高等学校",$BA$9:$BA$38,"カ その他",BO9:BO38,"1")</f>
        <v>0</v>
      </c>
      <c r="CO54" s="77">
        <f>COUNTIFS($B$9:$B$38,"オ 高等学校",$BB$9:$BB$38,"ア 素手で殴る・叩く",$BO$9:$BO$38,"1")</f>
        <v>0</v>
      </c>
      <c r="CP54" s="77">
        <f>COUNTIFS($B$9:$B$38,"オ 高等学校",$BB$9:$BB$38,"イ 棒などで殴る・叩く",$BO$9:$BO$38,"1")</f>
        <v>0</v>
      </c>
      <c r="CQ54" s="77">
        <f>COUNTIFS($B$9:$B$38,"オ 高等学校",$BB$9:$BB$38,"ウ 蹴る・踏みつける",$BO$9:$BO$38,"1")</f>
        <v>0</v>
      </c>
      <c r="CR54" s="77">
        <f>COUNTIFS($B$9:$B$38,"オ 高等学校",$BB$9:$BB$38,"エ 投げる・突き飛ばす・転倒させる",$BO$9:$BO$38,"1")</f>
        <v>0</v>
      </c>
      <c r="CS54" s="77">
        <f>COUNTIFS($B$9:$B$38,"オ 高等学校",$BB$9:$BB$38,"オ つねる・ひっかく",$BO$9:$BO$38,"1")</f>
        <v>0</v>
      </c>
      <c r="CT54" s="77">
        <f>COUNTIFS($B$9:$B$38,"オ 高等学校",$BB$9:$BB$38,"カ 物をぶつける・投げつける",$BO$9:$BO$38,"1")</f>
        <v>0</v>
      </c>
      <c r="CU54" s="77">
        <f>COUNTIFS($B$9:$B$38,"オ 高等学校",$BB$9:$BB$38,"キ 長時間教室等に留め置く",$BO$9:$BO$38,"1")</f>
        <v>0</v>
      </c>
      <c r="CV54" s="77">
        <f>COUNTIFS($B$9:$B$38,"オ 高等学校",$BB$9:$BB$38,"ク 長時間正座など一定の姿勢を保持させる",$BO$9:$BO$38,"1")</f>
        <v>0</v>
      </c>
      <c r="CW54" s="77">
        <f>COUNTIFS($B$9:$B$38,"オ 高等学校",$BB$9:$BB$38,"ケ その他",$BO$9:$BO$38,"1")</f>
        <v>0</v>
      </c>
      <c r="CX54" s="98">
        <f>COUNTIFS($B$9:$B$38,"オ 高等学校",$BC$9:$BC$38,"ア 死亡",$BO$9:$BO$38,"1")</f>
        <v>0</v>
      </c>
      <c r="CY54" s="77">
        <f>COUNTIFS($B$9:$B$38,"オ 高等学校",$BC$9:$BC$38,"イ 骨折・挫折など",$BO$9:$BO$38,"1")</f>
        <v>0</v>
      </c>
      <c r="CZ54" s="77">
        <f>COUNTIFS($B$9:$B$38,"オ 高等学校",$BC$9:$BC$38,"ウ 鼓膜損傷",$BO$9:$BO$38,"1")</f>
        <v>0</v>
      </c>
      <c r="DA54" s="77">
        <f>COUNTIFS($B$9:$B$38,"オ 高等学校",$BC$9:$BC$38,"エ 外傷",$BO$9:$BO$38,"1")</f>
        <v>0</v>
      </c>
      <c r="DB54" s="77">
        <f>COUNTIFS($B$9:$B$38,"オ 高等学校",$BC$9:$BC$38,"オ 打撲（頭）",$BO$9:$BO$38,"1")</f>
        <v>0</v>
      </c>
      <c r="DC54" s="77">
        <f>COUNTIFS($B$9:$B$38,"オ 高等学校",$BC$9:$BC$38,"カ 打撲（顔）",$BO$9:$BO$38,"1")</f>
        <v>0</v>
      </c>
      <c r="DD54" s="77">
        <f>COUNTIFS($B$9:$B$38,"オ 高等学校",$BC$9:$BC$38,"キ 打撲（足）",$BO$9:$BO$38,"1")</f>
        <v>0</v>
      </c>
      <c r="DE54" s="77">
        <f>COUNTIFS($B$9:$B$38,"オ 高等学校",$BC$9:$BC$38,"ク 打撲（オ～キ以外）",$BO$9:$BO$38,"1")</f>
        <v>0</v>
      </c>
      <c r="DF54" s="77">
        <f>COUNTIFS($B$9:$B$38,"オ 高等学校",$BC$9:$BC$38,"ケ 鼻血",$BO$9:$BO$38,"1")</f>
        <v>0</v>
      </c>
      <c r="DG54" s="77">
        <f>COUNTIFS($B$9:$B$38,"オ 高等学校",$BC$9:$BC$38,"コ 髪を切られる",$BO$9:$BO$38,"1")</f>
        <v>0</v>
      </c>
      <c r="DH54" s="77">
        <f>COUNTIFS($B$9:$B$38,"オ 高等学校",$BC$9:$BC$38,"サ その他",$BO$9:$BO$38,"1")</f>
        <v>0</v>
      </c>
      <c r="DI54" s="77">
        <f>COUNTIFS($B$9:$B$38,"オ 高等学校",$BC$9:$BC$38,"シ 傷害なし",$BO$9:$BO$38,"1")</f>
        <v>0</v>
      </c>
      <c r="DJ54" s="76">
        <f>COUNTIFS($B$9:$B$38,"オ 高等学校",$BD$9:$BD$38,1,$BO$9:$BO$38,1)</f>
        <v>0</v>
      </c>
      <c r="DK54" s="76">
        <f>COUNTIFS($B$9:$B$38,"オ 高等学校",$BE$9:$BE$38,1,$BO$9:$BO$38,1)</f>
        <v>0</v>
      </c>
      <c r="DL54" s="76">
        <f>COUNTIFS($B$9:$B$38,"オ 高等学校",$BF$9:$BF$38,1,$BO$9:$BO$38,1)</f>
        <v>0</v>
      </c>
      <c r="DM54" s="76">
        <f>COUNTIFS($B$9:$B$38,"オ 高等学校",$BG$9:$BG$38,1,$BO$9:$BO$38,1)</f>
        <v>0</v>
      </c>
      <c r="DN54" s="76">
        <f>COUNTIFS($B$9:$B$38,"オ 高等学校",$BH$9:$BH$38,1,$BO$9:$BO$38,1)</f>
        <v>0</v>
      </c>
      <c r="DO54" s="76">
        <f>COUNTIFS($B$9:$B$38,"オ 高等学校",$BI$9:$BI$38,1,$BO$9:$BO$38,1)</f>
        <v>0</v>
      </c>
      <c r="DP54" s="76">
        <f>COUNTIFS($B$9:$B$38,"オ 高等学校",$BJ$9:$BJ$38,1,$BO$9:$BO$38,1)</f>
        <v>0</v>
      </c>
      <c r="DQ54" s="76">
        <f>COUNTIFS($B$9:$B$38,"オ 高等学校",$BK$9:$BK$38,1,$BO$9:$BO$38,1)</f>
        <v>0</v>
      </c>
      <c r="DR54" s="76">
        <f>COUNTIFS($B$9:$B$38,"オ 高等学校",$BL$9:$BL$38,1,$BO$9:$BO$38,1)</f>
        <v>0</v>
      </c>
      <c r="DS54" s="76">
        <f>COUNTIFS($B$9:$B$38,"オ 高等学校",$BM$9:$BM$38,1,$BO$9:$BO$38,1)</f>
        <v>0</v>
      </c>
      <c r="DT54" s="76">
        <f>COUNTIFS($B$9:$B$38,"オ 高等学校",$BN$9:$BN$38,1,$BO$9:$BO$38,1)</f>
        <v>0</v>
      </c>
    </row>
    <row r="55" spans="69:124">
      <c r="BT55" s="79" t="s">
        <v>101</v>
      </c>
      <c r="BU55" s="79" t="s">
        <v>102</v>
      </c>
      <c r="BV55" s="79" t="s">
        <v>103</v>
      </c>
      <c r="BW55" s="79" t="s">
        <v>104</v>
      </c>
      <c r="BX55" s="80" t="s">
        <v>105</v>
      </c>
      <c r="BY55" s="79" t="s">
        <v>106</v>
      </c>
      <c r="BZ55" s="79" t="s">
        <v>107</v>
      </c>
      <c r="CA55" s="79"/>
      <c r="CB55" s="79" t="s">
        <v>108</v>
      </c>
      <c r="CC55" s="79" t="s">
        <v>109</v>
      </c>
      <c r="CD55" s="80" t="s">
        <v>110</v>
      </c>
      <c r="CE55" s="79" t="s">
        <v>111</v>
      </c>
      <c r="CF55" s="79" t="s">
        <v>112</v>
      </c>
      <c r="CG55" s="79" t="s">
        <v>113</v>
      </c>
      <c r="CH55" s="79" t="s">
        <v>114</v>
      </c>
      <c r="CI55" s="79" t="s">
        <v>115</v>
      </c>
      <c r="CJ55" s="79" t="s">
        <v>116</v>
      </c>
      <c r="CK55" s="79" t="s">
        <v>117</v>
      </c>
      <c r="CL55" s="79" t="s">
        <v>118</v>
      </c>
      <c r="CM55" s="79" t="s">
        <v>119</v>
      </c>
      <c r="CN55" s="79" t="s">
        <v>114</v>
      </c>
      <c r="CO55" s="79" t="s">
        <v>120</v>
      </c>
      <c r="CP55" s="79" t="s">
        <v>121</v>
      </c>
      <c r="CQ55" s="79" t="s">
        <v>122</v>
      </c>
      <c r="CR55" s="79" t="s">
        <v>123</v>
      </c>
      <c r="CS55" s="79" t="s">
        <v>124</v>
      </c>
      <c r="CT55" s="79" t="s">
        <v>125</v>
      </c>
      <c r="CU55" s="79" t="s">
        <v>126</v>
      </c>
      <c r="CV55" s="79" t="s">
        <v>127</v>
      </c>
      <c r="CW55" s="79" t="s">
        <v>114</v>
      </c>
      <c r="CX55" s="79" t="s">
        <v>128</v>
      </c>
      <c r="CY55" s="79" t="s">
        <v>129</v>
      </c>
      <c r="CZ55" s="80" t="s">
        <v>130</v>
      </c>
      <c r="DA55" s="79" t="s">
        <v>131</v>
      </c>
      <c r="DB55" s="79" t="s">
        <v>132</v>
      </c>
      <c r="DC55" s="79" t="s">
        <v>133</v>
      </c>
      <c r="DD55" s="79" t="s">
        <v>134</v>
      </c>
      <c r="DE55" s="79" t="s">
        <v>135</v>
      </c>
      <c r="DF55" s="79" t="s">
        <v>136</v>
      </c>
      <c r="DG55" s="79" t="s">
        <v>137</v>
      </c>
      <c r="DH55" s="79" t="s">
        <v>114</v>
      </c>
      <c r="DI55" s="79" t="s">
        <v>138</v>
      </c>
      <c r="DJ55" s="79" t="s">
        <v>139</v>
      </c>
      <c r="DK55" s="79" t="s">
        <v>140</v>
      </c>
      <c r="DL55" s="79" t="s">
        <v>141</v>
      </c>
      <c r="DM55" s="79" t="s">
        <v>142</v>
      </c>
      <c r="DN55" s="79" t="s">
        <v>114</v>
      </c>
      <c r="DO55" s="79" t="s">
        <v>143</v>
      </c>
      <c r="DP55" s="79" t="s">
        <v>144</v>
      </c>
      <c r="DQ55" s="80" t="s">
        <v>145</v>
      </c>
      <c r="DR55" s="79" t="s">
        <v>146</v>
      </c>
      <c r="DS55" s="79" t="s">
        <v>140</v>
      </c>
      <c r="DT55" s="79" t="s">
        <v>142</v>
      </c>
    </row>
    <row r="58" spans="69:124" ht="14.25" thickBot="1"/>
    <row r="59" spans="69:124" ht="14.25" thickBot="1">
      <c r="BQ59" s="224" t="s">
        <v>3</v>
      </c>
      <c r="BR59" s="225"/>
      <c r="BS59" s="225"/>
      <c r="BT59" s="225"/>
      <c r="BU59" s="225"/>
      <c r="BV59" s="225"/>
      <c r="BW59" s="225"/>
      <c r="BX59" s="225"/>
      <c r="BY59" s="225"/>
      <c r="BZ59" s="225"/>
      <c r="CA59" s="225"/>
      <c r="CB59" s="225"/>
      <c r="CC59" s="225"/>
      <c r="CD59" s="225"/>
      <c r="CE59" s="225"/>
      <c r="CF59" s="225"/>
      <c r="CG59" s="225"/>
      <c r="CH59" s="225"/>
      <c r="CI59" s="225"/>
      <c r="CJ59" s="225"/>
      <c r="CK59" s="225"/>
      <c r="CL59" s="225"/>
      <c r="CM59" s="225"/>
      <c r="CN59" s="225"/>
      <c r="CO59" s="225"/>
      <c r="CP59" s="225"/>
      <c r="CQ59" s="225"/>
      <c r="CR59" s="225"/>
      <c r="CS59" s="225"/>
      <c r="CT59" s="225"/>
      <c r="CU59" s="225"/>
      <c r="CV59" s="225"/>
      <c r="CW59" s="225"/>
      <c r="CX59" s="225"/>
      <c r="CY59" s="225"/>
      <c r="CZ59" s="225"/>
      <c r="DA59" s="225"/>
      <c r="DB59" s="225"/>
      <c r="DC59" s="225"/>
      <c r="DD59" s="225"/>
      <c r="DE59" s="225"/>
      <c r="DF59" s="225"/>
      <c r="DG59" s="225"/>
      <c r="DH59" s="225"/>
      <c r="DI59" s="225"/>
      <c r="DJ59" s="226"/>
    </row>
    <row r="60" spans="69:124">
      <c r="BQ60" s="215" t="s">
        <v>170</v>
      </c>
      <c r="BR60" s="216"/>
      <c r="BS60" s="216"/>
      <c r="BT60" s="217"/>
      <c r="BU60" s="227" t="s">
        <v>13</v>
      </c>
      <c r="BV60" s="228"/>
      <c r="BW60" s="228"/>
      <c r="BX60" s="228"/>
      <c r="BY60" s="228"/>
      <c r="BZ60" s="229"/>
      <c r="CA60" s="233" t="s">
        <v>14</v>
      </c>
      <c r="CB60" s="234"/>
      <c r="CC60" s="235"/>
      <c r="CD60" s="233" t="s">
        <v>147</v>
      </c>
      <c r="CE60" s="239"/>
      <c r="CF60" s="239"/>
      <c r="CG60" s="239"/>
      <c r="CH60" s="239"/>
      <c r="CI60" s="239"/>
      <c r="CJ60" s="239"/>
      <c r="CK60" s="239"/>
      <c r="CL60" s="240"/>
      <c r="CM60" s="244" t="s">
        <v>15</v>
      </c>
      <c r="CN60" s="245"/>
      <c r="CO60" s="246"/>
      <c r="CP60" s="244" t="s">
        <v>16</v>
      </c>
      <c r="CQ60" s="245"/>
      <c r="CR60" s="245"/>
      <c r="CS60" s="245"/>
      <c r="CT60" s="245"/>
      <c r="CU60" s="246"/>
      <c r="CV60" s="221" t="s">
        <v>17</v>
      </c>
      <c r="CW60" s="222"/>
      <c r="CX60" s="222"/>
      <c r="CY60" s="222"/>
      <c r="CZ60" s="222"/>
      <c r="DA60" s="222"/>
      <c r="DB60" s="222"/>
      <c r="DC60" s="222"/>
      <c r="DD60" s="222"/>
      <c r="DE60" s="222"/>
      <c r="DF60" s="222"/>
      <c r="DG60" s="222"/>
      <c r="DH60" s="222"/>
      <c r="DI60" s="222"/>
      <c r="DJ60" s="223"/>
    </row>
    <row r="61" spans="69:124">
      <c r="BQ61" s="218"/>
      <c r="BR61" s="149"/>
      <c r="BS61" s="149"/>
      <c r="BT61" s="219"/>
      <c r="BU61" s="230"/>
      <c r="BV61" s="231"/>
      <c r="BW61" s="231"/>
      <c r="BX61" s="231"/>
      <c r="BY61" s="231"/>
      <c r="BZ61" s="232"/>
      <c r="CA61" s="236"/>
      <c r="CB61" s="237"/>
      <c r="CC61" s="238"/>
      <c r="CD61" s="241"/>
      <c r="CE61" s="242"/>
      <c r="CF61" s="242"/>
      <c r="CG61" s="242"/>
      <c r="CH61" s="242"/>
      <c r="CI61" s="242"/>
      <c r="CJ61" s="242"/>
      <c r="CK61" s="242"/>
      <c r="CL61" s="243"/>
      <c r="CM61" s="247"/>
      <c r="CN61" s="220"/>
      <c r="CO61" s="248"/>
      <c r="CP61" s="247" t="s">
        <v>26</v>
      </c>
      <c r="CQ61" s="220"/>
      <c r="CR61" s="220"/>
      <c r="CS61" s="220" t="s">
        <v>27</v>
      </c>
      <c r="CT61" s="220"/>
      <c r="CU61" s="248"/>
      <c r="CV61" s="220" t="s">
        <v>166</v>
      </c>
      <c r="CW61" s="220"/>
      <c r="CX61" s="220"/>
      <c r="CY61" s="247" t="s">
        <v>28</v>
      </c>
      <c r="CZ61" s="220"/>
      <c r="DA61" s="220"/>
      <c r="DB61" s="220"/>
      <c r="DC61" s="220"/>
      <c r="DD61" s="220"/>
      <c r="DE61" s="220" t="s">
        <v>29</v>
      </c>
      <c r="DF61" s="220"/>
      <c r="DG61" s="220"/>
      <c r="DH61" s="220" t="s">
        <v>30</v>
      </c>
      <c r="DI61" s="220"/>
      <c r="DJ61" s="248"/>
    </row>
    <row r="62" spans="69:124">
      <c r="BQ62" s="95" t="s">
        <v>165</v>
      </c>
      <c r="BR62" s="94" t="s">
        <v>162</v>
      </c>
      <c r="BS62" s="94" t="s">
        <v>163</v>
      </c>
      <c r="BT62" s="96" t="s">
        <v>164</v>
      </c>
      <c r="BU62" s="84" t="s">
        <v>151</v>
      </c>
      <c r="BV62" s="81" t="s">
        <v>152</v>
      </c>
      <c r="BW62" s="81" t="s">
        <v>153</v>
      </c>
      <c r="BX62" s="81" t="s">
        <v>154</v>
      </c>
      <c r="BY62" s="81" t="s">
        <v>155</v>
      </c>
      <c r="BZ62" s="83" t="s">
        <v>156</v>
      </c>
      <c r="CA62" s="86" t="s">
        <v>151</v>
      </c>
      <c r="CB62" s="82" t="s">
        <v>152</v>
      </c>
      <c r="CC62" s="85" t="s">
        <v>153</v>
      </c>
      <c r="CD62" s="86" t="s">
        <v>151</v>
      </c>
      <c r="CE62" s="82" t="s">
        <v>152</v>
      </c>
      <c r="CF62" s="82" t="s">
        <v>153</v>
      </c>
      <c r="CG62" s="82" t="s">
        <v>154</v>
      </c>
      <c r="CH62" s="82" t="s">
        <v>155</v>
      </c>
      <c r="CI62" s="82" t="s">
        <v>156</v>
      </c>
      <c r="CJ62" s="82" t="s">
        <v>157</v>
      </c>
      <c r="CK62" s="82" t="s">
        <v>158</v>
      </c>
      <c r="CL62" s="85" t="s">
        <v>159</v>
      </c>
      <c r="CM62" s="84" t="s">
        <v>148</v>
      </c>
      <c r="CN62" s="81" t="s">
        <v>149</v>
      </c>
      <c r="CO62" s="83" t="s">
        <v>150</v>
      </c>
      <c r="CP62" s="84" t="s">
        <v>151</v>
      </c>
      <c r="CQ62" s="81" t="s">
        <v>152</v>
      </c>
      <c r="CR62" s="81" t="s">
        <v>153</v>
      </c>
      <c r="CS62" s="81" t="s">
        <v>151</v>
      </c>
      <c r="CT62" s="81" t="s">
        <v>152</v>
      </c>
      <c r="CU62" s="83" t="s">
        <v>153</v>
      </c>
      <c r="CV62" s="87" t="s">
        <v>162</v>
      </c>
      <c r="CW62" s="87" t="s">
        <v>163</v>
      </c>
      <c r="CX62" s="87" t="s">
        <v>164</v>
      </c>
      <c r="CY62" s="84" t="s">
        <v>151</v>
      </c>
      <c r="CZ62" s="81" t="s">
        <v>152</v>
      </c>
      <c r="DA62" s="81" t="s">
        <v>153</v>
      </c>
      <c r="DB62" s="81" t="s">
        <v>154</v>
      </c>
      <c r="DC62" s="81" t="s">
        <v>155</v>
      </c>
      <c r="DD62" s="81" t="s">
        <v>156</v>
      </c>
      <c r="DE62" s="81" t="s">
        <v>151</v>
      </c>
      <c r="DF62" s="81" t="s">
        <v>152</v>
      </c>
      <c r="DG62" s="81" t="s">
        <v>153</v>
      </c>
      <c r="DH62" s="81" t="s">
        <v>151</v>
      </c>
      <c r="DI62" s="81" t="s">
        <v>152</v>
      </c>
      <c r="DJ62" s="83" t="s">
        <v>153</v>
      </c>
    </row>
    <row r="63" spans="69:124" ht="18" thickBot="1">
      <c r="BQ63" s="100">
        <f t="shared" ref="BQ63:CU63" si="29">SUM(F9:F38)</f>
        <v>0</v>
      </c>
      <c r="BR63" s="101">
        <f t="shared" si="29"/>
        <v>0</v>
      </c>
      <c r="BS63" s="101">
        <f t="shared" si="29"/>
        <v>0</v>
      </c>
      <c r="BT63" s="102">
        <f t="shared" si="29"/>
        <v>0</v>
      </c>
      <c r="BU63" s="103">
        <f t="shared" si="29"/>
        <v>0</v>
      </c>
      <c r="BV63" s="101">
        <f t="shared" si="29"/>
        <v>0</v>
      </c>
      <c r="BW63" s="101">
        <f t="shared" si="29"/>
        <v>0</v>
      </c>
      <c r="BX63" s="101">
        <f t="shared" si="29"/>
        <v>0</v>
      </c>
      <c r="BY63" s="101">
        <f t="shared" si="29"/>
        <v>0</v>
      </c>
      <c r="BZ63" s="102">
        <f t="shared" si="29"/>
        <v>0</v>
      </c>
      <c r="CA63" s="103">
        <f t="shared" si="29"/>
        <v>0</v>
      </c>
      <c r="CB63" s="103">
        <f t="shared" si="29"/>
        <v>0</v>
      </c>
      <c r="CC63" s="103">
        <f t="shared" si="29"/>
        <v>0</v>
      </c>
      <c r="CD63" s="103">
        <f t="shared" si="29"/>
        <v>0</v>
      </c>
      <c r="CE63" s="103">
        <f t="shared" si="29"/>
        <v>0</v>
      </c>
      <c r="CF63" s="103">
        <f t="shared" si="29"/>
        <v>0</v>
      </c>
      <c r="CG63" s="103">
        <f t="shared" si="29"/>
        <v>0</v>
      </c>
      <c r="CH63" s="103">
        <f t="shared" si="29"/>
        <v>0</v>
      </c>
      <c r="CI63" s="103">
        <f t="shared" si="29"/>
        <v>0</v>
      </c>
      <c r="CJ63" s="103">
        <f t="shared" si="29"/>
        <v>0</v>
      </c>
      <c r="CK63" s="103">
        <f t="shared" si="29"/>
        <v>0</v>
      </c>
      <c r="CL63" s="103">
        <f t="shared" si="29"/>
        <v>0</v>
      </c>
      <c r="CM63" s="103">
        <f t="shared" si="29"/>
        <v>0</v>
      </c>
      <c r="CN63" s="101">
        <f t="shared" si="29"/>
        <v>0</v>
      </c>
      <c r="CO63" s="102">
        <f t="shared" si="29"/>
        <v>0</v>
      </c>
      <c r="CP63" s="103">
        <f t="shared" si="29"/>
        <v>0</v>
      </c>
      <c r="CQ63" s="101">
        <f t="shared" si="29"/>
        <v>0</v>
      </c>
      <c r="CR63" s="101">
        <f t="shared" si="29"/>
        <v>0</v>
      </c>
      <c r="CS63" s="101">
        <f t="shared" si="29"/>
        <v>0</v>
      </c>
      <c r="CT63" s="101">
        <f t="shared" si="29"/>
        <v>0</v>
      </c>
      <c r="CU63" s="102">
        <f t="shared" si="29"/>
        <v>0</v>
      </c>
      <c r="CV63" s="101">
        <f t="shared" ref="CV63:CX63" si="30">SUM(AK9:AK38)</f>
        <v>0</v>
      </c>
      <c r="CW63" s="101">
        <f t="shared" si="30"/>
        <v>0</v>
      </c>
      <c r="CX63" s="101">
        <f t="shared" si="30"/>
        <v>0</v>
      </c>
      <c r="CY63" s="103">
        <f t="shared" ref="CY63:DJ63" si="31">SUM(AN9:AN38)</f>
        <v>0</v>
      </c>
      <c r="CZ63" s="101">
        <f t="shared" si="31"/>
        <v>0</v>
      </c>
      <c r="DA63" s="101">
        <f t="shared" si="31"/>
        <v>0</v>
      </c>
      <c r="DB63" s="101">
        <f t="shared" si="31"/>
        <v>0</v>
      </c>
      <c r="DC63" s="101">
        <f t="shared" si="31"/>
        <v>0</v>
      </c>
      <c r="DD63" s="101">
        <f t="shared" si="31"/>
        <v>0</v>
      </c>
      <c r="DE63" s="101">
        <f t="shared" si="31"/>
        <v>0</v>
      </c>
      <c r="DF63" s="101">
        <f t="shared" si="31"/>
        <v>0</v>
      </c>
      <c r="DG63" s="101">
        <f t="shared" si="31"/>
        <v>0</v>
      </c>
      <c r="DH63" s="101">
        <f t="shared" si="31"/>
        <v>0</v>
      </c>
      <c r="DI63" s="101">
        <f t="shared" si="31"/>
        <v>0</v>
      </c>
      <c r="DJ63" s="102">
        <f t="shared" si="31"/>
        <v>0</v>
      </c>
    </row>
    <row r="64" spans="69:124" ht="18" thickBot="1">
      <c r="BQ64" s="104"/>
      <c r="BR64" s="104"/>
      <c r="BS64" s="104"/>
      <c r="BT64" s="105">
        <f>SUM(BQ63:BT63)</f>
        <v>0</v>
      </c>
      <c r="BU64" s="104"/>
      <c r="BV64" s="104"/>
      <c r="BW64" s="104"/>
      <c r="BX64" s="104"/>
      <c r="BY64" s="104"/>
      <c r="BZ64" s="105">
        <f>SUM(BU63:BZ63)</f>
        <v>0</v>
      </c>
      <c r="CA64" s="104"/>
      <c r="CB64" s="106"/>
      <c r="CC64" s="105">
        <f>SUM(CA63:CC63)</f>
        <v>0</v>
      </c>
      <c r="CD64" s="104"/>
      <c r="CE64" s="104"/>
      <c r="CF64" s="104"/>
      <c r="CG64" s="104"/>
      <c r="CH64" s="104"/>
      <c r="CI64" s="104"/>
      <c r="CJ64" s="104"/>
      <c r="CK64" s="104"/>
      <c r="CL64" s="107">
        <f>SUM(CD63:CL63)</f>
        <v>0</v>
      </c>
      <c r="CM64" s="108"/>
      <c r="CN64" s="104"/>
      <c r="CO64" s="107">
        <f>SUM(CM63:CO63)</f>
        <v>0</v>
      </c>
      <c r="CP64" s="108"/>
      <c r="CQ64" s="104"/>
      <c r="CR64" s="104"/>
      <c r="CS64" s="104"/>
      <c r="CT64" s="104"/>
      <c r="CU64" s="105">
        <f>SUM(CP63:CU63)</f>
        <v>0</v>
      </c>
      <c r="CV64" s="104"/>
      <c r="CW64" s="104"/>
      <c r="CX64" s="109"/>
      <c r="CY64" s="109"/>
      <c r="CZ64" s="104"/>
      <c r="DA64" s="104"/>
      <c r="DB64" s="104"/>
      <c r="DC64" s="104"/>
      <c r="DD64" s="104"/>
      <c r="DE64" s="104"/>
      <c r="DF64" s="104"/>
      <c r="DG64" s="104"/>
      <c r="DH64" s="104"/>
      <c r="DI64" s="106"/>
      <c r="DJ64" s="110">
        <f>SUM(CV63:DJ63)</f>
        <v>0</v>
      </c>
    </row>
    <row r="65" ht="14.25" thickTop="1"/>
  </sheetData>
  <sheetProtection sheet="1" objects="1" scenarios="1"/>
  <mergeCells count="77">
    <mergeCell ref="CC7:CI7"/>
    <mergeCell ref="BQ60:BT61"/>
    <mergeCell ref="CV61:CX61"/>
    <mergeCell ref="CV60:DJ60"/>
    <mergeCell ref="BQ59:DJ59"/>
    <mergeCell ref="BU60:BZ61"/>
    <mergeCell ref="CA60:CC61"/>
    <mergeCell ref="CD60:CL61"/>
    <mergeCell ref="CM60:CO61"/>
    <mergeCell ref="CP60:CU60"/>
    <mergeCell ref="CP61:CR61"/>
    <mergeCell ref="CS61:CU61"/>
    <mergeCell ref="CY61:DD61"/>
    <mergeCell ref="DE61:DG61"/>
    <mergeCell ref="DH61:DJ61"/>
    <mergeCell ref="BQ7:BQ8"/>
    <mergeCell ref="A2:B2"/>
    <mergeCell ref="S2:AA2"/>
    <mergeCell ref="AB2:AO2"/>
    <mergeCell ref="A3:B3"/>
    <mergeCell ref="C3:D3"/>
    <mergeCell ref="E3:L3"/>
    <mergeCell ref="M3:V3"/>
    <mergeCell ref="W3:AA3"/>
    <mergeCell ref="AB3:AO3"/>
    <mergeCell ref="D2:R2"/>
    <mergeCell ref="A5:A8"/>
    <mergeCell ref="B5:D7"/>
    <mergeCell ref="E5:E8"/>
    <mergeCell ref="BD5:BH5"/>
    <mergeCell ref="J6:O7"/>
    <mergeCell ref="P6:R7"/>
    <mergeCell ref="S6:AA7"/>
    <mergeCell ref="AB6:AD7"/>
    <mergeCell ref="AE6:AJ6"/>
    <mergeCell ref="AE7:AG7"/>
    <mergeCell ref="AH7:AJ7"/>
    <mergeCell ref="AN7:AS7"/>
    <mergeCell ref="AT7:AV7"/>
    <mergeCell ref="AW7:AY7"/>
    <mergeCell ref="F6:I7"/>
    <mergeCell ref="BH6:BH8"/>
    <mergeCell ref="AZ5:BA7"/>
    <mergeCell ref="BB5:BB8"/>
    <mergeCell ref="BC5:BC8"/>
    <mergeCell ref="BI6:BI8"/>
    <mergeCell ref="BK1:BO1"/>
    <mergeCell ref="BK3:BO3"/>
    <mergeCell ref="BK4:BO4"/>
    <mergeCell ref="BI5:BN5"/>
    <mergeCell ref="BO5:BO8"/>
    <mergeCell ref="BN6:BN8"/>
    <mergeCell ref="BJ6:BJ8"/>
    <mergeCell ref="BK6:BK8"/>
    <mergeCell ref="BL6:BL8"/>
    <mergeCell ref="BM6:BM8"/>
    <mergeCell ref="DJ43:DN44"/>
    <mergeCell ref="DO43:DT44"/>
    <mergeCell ref="CB44:CH44"/>
    <mergeCell ref="CI44:CN44"/>
    <mergeCell ref="CO43:CW44"/>
    <mergeCell ref="AK6:AY6"/>
    <mergeCell ref="AK7:AM7"/>
    <mergeCell ref="F5:AY5"/>
    <mergeCell ref="CX43:DI44"/>
    <mergeCell ref="CA43:CA45"/>
    <mergeCell ref="CB43:CN43"/>
    <mergeCell ref="BR43:BR45"/>
    <mergeCell ref="BS43:BS45"/>
    <mergeCell ref="BT43:BX44"/>
    <mergeCell ref="BY43:BZ44"/>
    <mergeCell ref="BQ41:BT42"/>
    <mergeCell ref="BD6:BD8"/>
    <mergeCell ref="BE6:BE8"/>
    <mergeCell ref="BF6:BF8"/>
    <mergeCell ref="BG6:BG8"/>
    <mergeCell ref="BR7:CA7"/>
  </mergeCells>
  <phoneticPr fontId="1"/>
  <conditionalFormatting sqref="P6:AA38 AE6:AY38">
    <cfRule type="expression" dxfId="0" priority="11">
      <formula>$C$2="株立"</formula>
    </cfRule>
  </conditionalFormatting>
  <dataValidations count="9">
    <dataValidation type="list" allowBlank="1" showInputMessage="1" showErrorMessage="1" sqref="C2">
      <formula1>"国立,私立,株立"</formula1>
    </dataValidation>
    <dataValidation type="list" allowBlank="1" showInputMessage="1" showErrorMessage="1" sqref="BD9:BO38">
      <formula1>"1"</formula1>
    </dataValidation>
    <dataValidation type="list" allowBlank="1" showInputMessage="1" showErrorMessage="1" sqref="AZ9:AZ38">
      <formula1>"ア 授業中・保育中,イ 放課後,ウ 休み時間,エ 部活動,オ 学校行事,カ ホームルーム,キ その他"</formula1>
    </dataValidation>
    <dataValidation type="list" allowBlank="1" showInputMessage="1" showErrorMessage="1" sqref="BA9:BA38">
      <formula1>"ア 教室・保育室,イ 職員室,ウ 運動場・園庭、体育館・遊戯室,エ 生徒指導室,オ 廊下、階段,カ その他"</formula1>
    </dataValidation>
    <dataValidation type="list" allowBlank="1" showInputMessage="1" showErrorMessage="1" sqref="BC9:BC38">
      <formula1>"ア 死亡,イ 骨折・挫折など,ウ 鼓膜損傷,エ 外傷,オ 打撲（頭）,カ 打撲（顔）,キ 打撲（足）,ク 打撲（オ～キ以外）,ケ 鼻血,コ 髪を切られる,サ その他,シ 傷害なし"</formula1>
    </dataValidation>
    <dataValidation type="list" allowBlank="1" showInputMessage="1" showErrorMessage="1" sqref="C9:C38">
      <formula1>"ア ２０歳代,イ ３０歳代,ウ ４０歳代,エ ５０歳代,オ ６０歳代以上"</formula1>
    </dataValidation>
    <dataValidation type="list" allowBlank="1" showInputMessage="1" showErrorMessage="1" sqref="D9:D38">
      <formula1>"ア 男性,イ 女性"</formula1>
    </dataValidation>
    <dataValidation type="list" allowBlank="1" showInputMessage="1" showErrorMessage="1" sqref="BB9:BB38">
      <formula1>"ア 素手で殴る・叩く,イ 棒などで殴る・叩く,ウ 蹴る・踏みつける,エ 投げる・突き飛ばす・転倒させる,オ つねる・ひっかく,カ 物をぶつける・投げつける,キ 長時間教室等に留め置く,ク 長時間正座など一定の姿勢を保持させる,ケ その他"</formula1>
    </dataValidation>
    <dataValidation type="list" allowBlank="1" showInputMessage="1" showErrorMessage="1" sqref="B9:B38">
      <formula1>"ア 幼稚園,イ 小学校,ウ 中学校,エ 義務教育学校,オ 高等学校,カ 中等教育学校,キ 特別支援学校"</formula1>
    </dataValidation>
  </dataValidations>
  <printOptions horizontalCentered="1"/>
  <pageMargins left="0.25" right="0.25" top="0.75" bottom="0.75" header="0.3" footer="0.3"/>
  <pageSetup paperSize="9" scale="48"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回答様式</vt:lpstr>
      <vt:lpstr>回答様式!Print_Area</vt:lpstr>
      <vt:lpstr>回答様式!Print_Titles</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大阪府</cp:lastModifiedBy>
  <cp:lastPrinted>2021-09-14T09:18:12Z</cp:lastPrinted>
  <dcterms:created xsi:type="dcterms:W3CDTF">2021-03-04T05:09:17Z</dcterms:created>
  <dcterms:modified xsi:type="dcterms:W3CDTF">2021-09-14T09:19:33Z</dcterms:modified>
</cp:coreProperties>
</file>