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605$\doc\スポーツ振興課\0　計画\07 R8（第４次スポーツ推進計画策定等）\05　部会\02　第１回部会（0617）\08　ホームページ更新\その他の形式のファイル\"/>
    </mc:Choice>
  </mc:AlternateContent>
  <xr:revisionPtr revIDLastSave="0" documentId="13_ncr:1_{D3DEB247-4F59-4747-91B1-1753630D887A}" xr6:coauthVersionLast="47" xr6:coauthVersionMax="47" xr10:uidLastSave="{00000000-0000-0000-0000-000000000000}"/>
  <bookViews>
    <workbookView xWindow="-108" yWindow="-108" windowWidth="23256" windowHeight="13896" tabRatio="873" firstSheet="3" activeTab="8" xr2:uid="{BAABB042-D59C-4E14-8F5D-EC3705CFC02E}"/>
  </bookViews>
  <sheets>
    <sheet name="Sheet1" sheetId="9" state="hidden" r:id="rId1"/>
    <sheet name="スポーツ実施率A（Q11）" sheetId="10" r:id="rId2"/>
    <sheet name="運動・スポーツ実施理由（Q13）" sheetId="7" r:id="rId3"/>
    <sheet name="スポーツ実施希望率（Q19）" sheetId="17" r:id="rId4"/>
    <sheet name="年代別実施頻度（Q23）" sheetId="15" r:id="rId5"/>
    <sheet name="実施増加理由（Q24）" sheetId="5" r:id="rId6"/>
    <sheet name="阻害要因（Q25）" sheetId="6" r:id="rId7"/>
    <sheet name="見る（Q29,Q30）" sheetId="8" r:id="rId8"/>
    <sheet name="支える（Q31，32，33，34）" sheetId="11" r:id="rId9"/>
    <sheet name="well-being【20-79】" sheetId="16" r:id="rId10"/>
    <sheet name="する・みる・ささえるの割合" sheetId="14" r:id="rId11"/>
    <sheet name="well-being（R4、R5）【18-79】" sheetId="13" state="hidden" r:id="rId12"/>
  </sheets>
  <definedNames>
    <definedName name="_xlnm.Print_Area" localSheetId="11">'well-being（R4、R5）【18-79】'!$A$1:$N$64</definedName>
    <definedName name="_xlnm.Print_Area" localSheetId="9">'well-being【20-79】'!$A$1:$AB$35</definedName>
    <definedName name="_xlnm.Print_Area" localSheetId="3">'スポーツ実施希望率（Q19）'!$A$1:$P$17</definedName>
    <definedName name="_xlnm.Print_Area" localSheetId="1">'スポーツ実施率A（Q11）'!$A$1:$S$16</definedName>
    <definedName name="_xlnm.Print_Area" localSheetId="2">'運動・スポーツ実施理由（Q13）'!$A$1:$G$17</definedName>
    <definedName name="_xlnm.Print_Area" localSheetId="7">'見る（Q29,Q30）'!$A$1:$G$33</definedName>
    <definedName name="_xlnm.Print_Area" localSheetId="8">'支える（Q31，32，33，34）'!$A$1:$C$47</definedName>
    <definedName name="_xlnm.Print_Area" localSheetId="5">'実施増加理由（Q24）'!$A$1:$R$19</definedName>
    <definedName name="_xlnm.Print_Area" localSheetId="6">'阻害要因（Q25）'!$A$1:$G$19</definedName>
    <definedName name="_xlnm.Print_Area" localSheetId="4">'年代別実施頻度（Q23）'!$A$1:$S$39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6" l="1"/>
  <c r="D17" i="7"/>
  <c r="D16" i="7"/>
  <c r="D15" i="7"/>
  <c r="D14" i="7"/>
  <c r="D13" i="7"/>
  <c r="D12" i="7"/>
  <c r="D11" i="7"/>
  <c r="D10" i="7"/>
  <c r="D9" i="7"/>
  <c r="C9" i="7"/>
  <c r="B47" i="11"/>
  <c r="B39" i="11"/>
  <c r="B40" i="11"/>
  <c r="B41" i="11"/>
  <c r="B42" i="11"/>
  <c r="B43" i="11"/>
  <c r="B44" i="11"/>
  <c r="B45" i="11"/>
  <c r="B46" i="11"/>
  <c r="M4" i="16"/>
  <c r="N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M7" i="16"/>
  <c r="N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M9" i="16"/>
  <c r="M10" i="16" s="1"/>
  <c r="N9" i="16"/>
  <c r="N10" i="16" s="1"/>
  <c r="C10" i="16"/>
  <c r="D10" i="16"/>
  <c r="E10" i="16"/>
  <c r="F10" i="16"/>
  <c r="G10" i="16"/>
  <c r="H10" i="16"/>
  <c r="I10" i="16"/>
  <c r="J10" i="16"/>
  <c r="K10" i="16"/>
  <c r="L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M11" i="16"/>
  <c r="M12" i="16" s="1"/>
  <c r="N11" i="16"/>
  <c r="N12" i="16" s="1"/>
  <c r="C12" i="16"/>
  <c r="D12" i="16"/>
  <c r="E12" i="16"/>
  <c r="F12" i="16"/>
  <c r="G12" i="16"/>
  <c r="H12" i="16"/>
  <c r="I12" i="16"/>
  <c r="J12" i="16"/>
  <c r="K12" i="16"/>
  <c r="L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M13" i="16"/>
  <c r="M14" i="16" s="1"/>
  <c r="N13" i="16"/>
  <c r="N14" i="16" s="1"/>
  <c r="C14" i="16"/>
  <c r="D14" i="16"/>
  <c r="E14" i="16"/>
  <c r="F14" i="16"/>
  <c r="G14" i="16"/>
  <c r="H14" i="16"/>
  <c r="I14" i="16"/>
  <c r="J14" i="16"/>
  <c r="K14" i="16"/>
  <c r="L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M15" i="16"/>
  <c r="N15" i="16"/>
  <c r="C16" i="16"/>
  <c r="D16" i="16"/>
  <c r="E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M17" i="16"/>
  <c r="M18" i="16" s="1"/>
  <c r="N17" i="16"/>
  <c r="N18" i="16" s="1"/>
  <c r="C18" i="16"/>
  <c r="D18" i="16"/>
  <c r="E18" i="16"/>
  <c r="F18" i="16"/>
  <c r="G18" i="16"/>
  <c r="H18" i="16"/>
  <c r="I18" i="16"/>
  <c r="J18" i="16"/>
  <c r="K18" i="16"/>
  <c r="L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M19" i="16"/>
  <c r="M20" i="16" s="1"/>
  <c r="N19" i="16"/>
  <c r="N20" i="16" s="1"/>
  <c r="C20" i="16"/>
  <c r="D20" i="16"/>
  <c r="E20" i="16"/>
  <c r="F20" i="16"/>
  <c r="G20" i="16"/>
  <c r="H20" i="16"/>
  <c r="I20" i="16"/>
  <c r="J20" i="16"/>
  <c r="K20" i="16"/>
  <c r="L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M21" i="16"/>
  <c r="M22" i="16" s="1"/>
  <c r="N21" i="16"/>
  <c r="N22" i="16" s="1"/>
  <c r="C22" i="16"/>
  <c r="D22" i="16"/>
  <c r="E22" i="16"/>
  <c r="F22" i="16"/>
  <c r="G22" i="16"/>
  <c r="H22" i="16"/>
  <c r="I22" i="16"/>
  <c r="J22" i="16"/>
  <c r="K22" i="16"/>
  <c r="L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Q33" i="15"/>
  <c r="R33" i="15"/>
  <c r="S33" i="15"/>
  <c r="Q34" i="15"/>
  <c r="R34" i="15"/>
  <c r="S34" i="15"/>
  <c r="Q35" i="15"/>
  <c r="R35" i="15"/>
  <c r="S35" i="15"/>
  <c r="Q36" i="15"/>
  <c r="R36" i="15"/>
  <c r="S36" i="15"/>
  <c r="Q37" i="15"/>
  <c r="R37" i="15"/>
  <c r="S37" i="15"/>
  <c r="Q38" i="15"/>
  <c r="R38" i="15"/>
  <c r="S38" i="15"/>
  <c r="Q39" i="15"/>
  <c r="R39" i="15"/>
  <c r="S39" i="15"/>
  <c r="Q20" i="15"/>
  <c r="R20" i="15"/>
  <c r="S20" i="15"/>
  <c r="Q21" i="15"/>
  <c r="R21" i="15"/>
  <c r="S21" i="15"/>
  <c r="Q22" i="15"/>
  <c r="R22" i="15"/>
  <c r="S22" i="15"/>
  <c r="Q23" i="15"/>
  <c r="R23" i="15"/>
  <c r="S23" i="15"/>
  <c r="Q24" i="15"/>
  <c r="R24" i="15"/>
  <c r="S24" i="15"/>
  <c r="Q25" i="15"/>
  <c r="R25" i="15"/>
  <c r="S25" i="15"/>
  <c r="Q26" i="15"/>
  <c r="R26" i="15"/>
  <c r="S26" i="15"/>
  <c r="Q7" i="15"/>
  <c r="R7" i="15"/>
  <c r="S7" i="15"/>
  <c r="Q8" i="15"/>
  <c r="R8" i="15"/>
  <c r="S8" i="15"/>
  <c r="Q9" i="15"/>
  <c r="R9" i="15"/>
  <c r="S9" i="15"/>
  <c r="Q10" i="15"/>
  <c r="R10" i="15"/>
  <c r="S10" i="15"/>
  <c r="Q11" i="15"/>
  <c r="R11" i="15"/>
  <c r="S11" i="15"/>
  <c r="Q12" i="15"/>
  <c r="R12" i="15"/>
  <c r="S12" i="15"/>
  <c r="Q13" i="15"/>
  <c r="R13" i="15"/>
  <c r="S13" i="15"/>
  <c r="S32" i="15"/>
  <c r="R32" i="15"/>
  <c r="Q32" i="15"/>
  <c r="S19" i="15"/>
  <c r="R19" i="15"/>
  <c r="Q19" i="15"/>
  <c r="S6" i="15"/>
  <c r="R6" i="15"/>
  <c r="Q6" i="15"/>
  <c r="K33" i="15"/>
  <c r="L33" i="15"/>
  <c r="M33" i="15"/>
  <c r="K34" i="15"/>
  <c r="L34" i="15"/>
  <c r="M34" i="15"/>
  <c r="K35" i="15"/>
  <c r="L35" i="15"/>
  <c r="M35" i="15"/>
  <c r="K36" i="15"/>
  <c r="L36" i="15"/>
  <c r="M36" i="15"/>
  <c r="K37" i="15"/>
  <c r="L37" i="15"/>
  <c r="M37" i="15"/>
  <c r="K38" i="15"/>
  <c r="L38" i="15"/>
  <c r="M38" i="15"/>
  <c r="K39" i="15"/>
  <c r="L39" i="15"/>
  <c r="M39" i="15"/>
  <c r="M32" i="15"/>
  <c r="L32" i="15"/>
  <c r="K32" i="15"/>
  <c r="K20" i="15"/>
  <c r="L20" i="15"/>
  <c r="M20" i="15"/>
  <c r="K21" i="15"/>
  <c r="L21" i="15"/>
  <c r="M21" i="15"/>
  <c r="K22" i="15"/>
  <c r="L22" i="15"/>
  <c r="M22" i="15"/>
  <c r="K23" i="15"/>
  <c r="L23" i="15"/>
  <c r="M23" i="15"/>
  <c r="K24" i="15"/>
  <c r="L24" i="15"/>
  <c r="M24" i="15"/>
  <c r="K25" i="15"/>
  <c r="L25" i="15"/>
  <c r="M25" i="15"/>
  <c r="K26" i="15"/>
  <c r="L26" i="15"/>
  <c r="M26" i="15"/>
  <c r="M19" i="15"/>
  <c r="L19" i="15"/>
  <c r="K19" i="15"/>
  <c r="K7" i="15"/>
  <c r="L7" i="15"/>
  <c r="M7" i="15"/>
  <c r="K8" i="15"/>
  <c r="L8" i="15"/>
  <c r="M8" i="15"/>
  <c r="K9" i="15"/>
  <c r="L9" i="15"/>
  <c r="M9" i="15"/>
  <c r="K10" i="15"/>
  <c r="L10" i="15"/>
  <c r="M10" i="15"/>
  <c r="K11" i="15"/>
  <c r="L11" i="15"/>
  <c r="M11" i="15"/>
  <c r="K12" i="15"/>
  <c r="L12" i="15"/>
  <c r="M12" i="15"/>
  <c r="K13" i="15"/>
  <c r="L13" i="15"/>
  <c r="M13" i="15"/>
  <c r="M6" i="15"/>
  <c r="L6" i="15"/>
  <c r="K6" i="15"/>
  <c r="I9" i="15"/>
  <c r="E33" i="15"/>
  <c r="F33" i="15"/>
  <c r="G33" i="15"/>
  <c r="E34" i="15"/>
  <c r="F34" i="15"/>
  <c r="G34" i="15"/>
  <c r="E35" i="15"/>
  <c r="F35" i="15"/>
  <c r="G35" i="15"/>
  <c r="E36" i="15"/>
  <c r="F36" i="15"/>
  <c r="G36" i="15"/>
  <c r="E37" i="15"/>
  <c r="F37" i="15"/>
  <c r="G37" i="15"/>
  <c r="E38" i="15"/>
  <c r="F38" i="15"/>
  <c r="G38" i="15"/>
  <c r="E39" i="15"/>
  <c r="F39" i="15"/>
  <c r="G39" i="15"/>
  <c r="G32" i="15"/>
  <c r="F32" i="15"/>
  <c r="E32" i="15"/>
  <c r="E20" i="15"/>
  <c r="F20" i="15"/>
  <c r="G20" i="15"/>
  <c r="E21" i="15"/>
  <c r="F21" i="15"/>
  <c r="G21" i="15"/>
  <c r="E22" i="15"/>
  <c r="F22" i="15"/>
  <c r="G22" i="15"/>
  <c r="E23" i="15"/>
  <c r="F23" i="15"/>
  <c r="G23" i="15"/>
  <c r="E24" i="15"/>
  <c r="F24" i="15"/>
  <c r="G24" i="15"/>
  <c r="E25" i="15"/>
  <c r="F25" i="15"/>
  <c r="G25" i="15"/>
  <c r="E26" i="15"/>
  <c r="F26" i="15"/>
  <c r="G26" i="15"/>
  <c r="G19" i="15"/>
  <c r="F19" i="15"/>
  <c r="E19" i="15"/>
  <c r="G13" i="15"/>
  <c r="G7" i="15"/>
  <c r="G8" i="15"/>
  <c r="G9" i="15"/>
  <c r="G10" i="15"/>
  <c r="G11" i="15"/>
  <c r="G12" i="15"/>
  <c r="F7" i="15"/>
  <c r="F8" i="15"/>
  <c r="F9" i="15"/>
  <c r="F10" i="15"/>
  <c r="F11" i="15"/>
  <c r="F12" i="15"/>
  <c r="F13" i="15"/>
  <c r="E10" i="15"/>
  <c r="E11" i="15"/>
  <c r="E12" i="15"/>
  <c r="E13" i="15"/>
  <c r="E7" i="15"/>
  <c r="E8" i="15"/>
  <c r="E9" i="15"/>
  <c r="G6" i="15"/>
  <c r="F6" i="15"/>
  <c r="E6" i="15"/>
  <c r="B38" i="11"/>
  <c r="B37" i="11"/>
  <c r="B36" i="11"/>
  <c r="B31" i="11"/>
  <c r="B30" i="11"/>
  <c r="B29" i="11"/>
  <c r="B24" i="11"/>
  <c r="B23" i="11"/>
  <c r="B22" i="11"/>
  <c r="B21" i="11"/>
  <c r="B20" i="11"/>
  <c r="B19" i="11"/>
  <c r="B18" i="11"/>
  <c r="B17" i="11"/>
  <c r="B16" i="11"/>
  <c r="B15" i="11"/>
  <c r="B14" i="11"/>
  <c r="B9" i="11"/>
  <c r="B8" i="11"/>
  <c r="B7" i="11"/>
  <c r="B6" i="11"/>
  <c r="B5" i="11"/>
  <c r="B4" i="11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D16" i="8"/>
  <c r="D15" i="8" s="1"/>
  <c r="C16" i="8"/>
  <c r="C15" i="8" s="1"/>
  <c r="B16" i="8"/>
  <c r="B8" i="8"/>
  <c r="B7" i="8" s="1"/>
  <c r="C8" i="8"/>
  <c r="C7" i="8" s="1"/>
  <c r="D8" i="8"/>
  <c r="D7" i="8"/>
  <c r="B15" i="8"/>
  <c r="D9" i="6"/>
  <c r="C7" i="6"/>
  <c r="C5" i="6"/>
  <c r="D5" i="6"/>
  <c r="C6" i="6"/>
  <c r="D6" i="6"/>
  <c r="D7" i="6"/>
  <c r="C8" i="6"/>
  <c r="D8" i="6"/>
  <c r="C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Q18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R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3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L4" i="17"/>
  <c r="K4" i="17"/>
  <c r="J4" i="17"/>
  <c r="I4" i="17"/>
  <c r="H4" i="17"/>
  <c r="G4" i="17"/>
  <c r="F4" i="17"/>
  <c r="E4" i="17"/>
  <c r="D4" i="17"/>
  <c r="L3" i="17"/>
  <c r="K3" i="17"/>
  <c r="J3" i="17"/>
  <c r="I3" i="17"/>
  <c r="H3" i="17"/>
  <c r="G3" i="17"/>
  <c r="F3" i="17"/>
  <c r="E3" i="17"/>
  <c r="D3" i="17"/>
  <c r="D8" i="7" l="1"/>
  <c r="D7" i="7"/>
  <c r="C17" i="7"/>
  <c r="C16" i="7"/>
  <c r="C15" i="7"/>
  <c r="C14" i="7"/>
  <c r="C13" i="7"/>
  <c r="C12" i="7"/>
  <c r="C11" i="7"/>
  <c r="C10" i="7"/>
  <c r="C8" i="7"/>
  <c r="C7" i="7"/>
  <c r="B17" i="7"/>
  <c r="B16" i="7"/>
  <c r="B15" i="7"/>
  <c r="B14" i="7"/>
  <c r="B13" i="7"/>
  <c r="B12" i="7"/>
  <c r="B11" i="7"/>
  <c r="B10" i="7"/>
  <c r="B9" i="7"/>
  <c r="B8" i="7" l="1"/>
  <c r="B7" i="7"/>
  <c r="O16" i="10"/>
  <c r="O14" i="10"/>
  <c r="O13" i="10"/>
  <c r="O12" i="10"/>
  <c r="O11" i="10"/>
  <c r="O10" i="10"/>
  <c r="O9" i="10"/>
  <c r="O8" i="10"/>
  <c r="O7" i="10"/>
  <c r="I16" i="10"/>
  <c r="I14" i="10"/>
  <c r="I13" i="10"/>
  <c r="I12" i="10"/>
  <c r="I11" i="10"/>
  <c r="I10" i="10"/>
  <c r="I9" i="10"/>
  <c r="I8" i="10"/>
  <c r="I7" i="10"/>
  <c r="C14" i="10"/>
  <c r="C13" i="10"/>
  <c r="C12" i="10"/>
  <c r="C11" i="10"/>
  <c r="C10" i="10"/>
  <c r="C9" i="10"/>
  <c r="C8" i="10"/>
  <c r="C16" i="10"/>
  <c r="C7" i="10"/>
  <c r="H6" i="15"/>
  <c r="H7" i="15"/>
  <c r="I7" i="15"/>
  <c r="J7" i="15"/>
  <c r="H8" i="15"/>
  <c r="I8" i="15"/>
  <c r="J8" i="15"/>
  <c r="H9" i="15"/>
  <c r="J9" i="15"/>
  <c r="H11" i="15"/>
  <c r="I11" i="15"/>
  <c r="J11" i="15"/>
  <c r="H12" i="15"/>
  <c r="I12" i="15"/>
  <c r="J12" i="15"/>
  <c r="H13" i="15"/>
  <c r="I13" i="15"/>
  <c r="J13" i="15"/>
  <c r="F36" i="13" l="1"/>
  <c r="J11" i="13" l="1"/>
  <c r="P50" i="13"/>
  <c r="O50" i="13"/>
  <c r="N50" i="13"/>
  <c r="M50" i="13"/>
  <c r="L50" i="13"/>
  <c r="K50" i="13"/>
  <c r="H50" i="13"/>
  <c r="G50" i="13"/>
  <c r="F50" i="13"/>
  <c r="E50" i="13"/>
  <c r="D50" i="13"/>
  <c r="C50" i="13"/>
  <c r="J49" i="13"/>
  <c r="J50" i="13" s="1"/>
  <c r="I49" i="13"/>
  <c r="I50" i="13" s="1"/>
  <c r="P48" i="13"/>
  <c r="O48" i="13"/>
  <c r="N48" i="13"/>
  <c r="M48" i="13"/>
  <c r="L48" i="13"/>
  <c r="K48" i="13"/>
  <c r="J48" i="13"/>
  <c r="I48" i="13"/>
  <c r="H48" i="13"/>
  <c r="G48" i="13"/>
  <c r="F48" i="13"/>
  <c r="D48" i="13"/>
  <c r="C48" i="13"/>
  <c r="J47" i="13"/>
  <c r="P46" i="13"/>
  <c r="O46" i="13"/>
  <c r="N46" i="13"/>
  <c r="M46" i="13"/>
  <c r="L46" i="13"/>
  <c r="K46" i="13"/>
  <c r="H46" i="13"/>
  <c r="G46" i="13"/>
  <c r="F46" i="13"/>
  <c r="E46" i="13"/>
  <c r="D46" i="13"/>
  <c r="C46" i="13"/>
  <c r="J45" i="13"/>
  <c r="J46" i="13" s="1"/>
  <c r="I45" i="13"/>
  <c r="I46" i="13" s="1"/>
  <c r="P44" i="13"/>
  <c r="O44" i="13"/>
  <c r="N44" i="13"/>
  <c r="M44" i="13"/>
  <c r="L44" i="13"/>
  <c r="K44" i="13"/>
  <c r="H44" i="13"/>
  <c r="G44" i="13"/>
  <c r="F44" i="13"/>
  <c r="E44" i="13"/>
  <c r="D44" i="13"/>
  <c r="C44" i="13"/>
  <c r="J43" i="13"/>
  <c r="J44" i="13" s="1"/>
  <c r="I43" i="13"/>
  <c r="I44" i="13" s="1"/>
  <c r="P42" i="13"/>
  <c r="O42" i="13"/>
  <c r="N42" i="13"/>
  <c r="M42" i="13"/>
  <c r="L42" i="13"/>
  <c r="K42" i="13"/>
  <c r="I42" i="13"/>
  <c r="H42" i="13"/>
  <c r="G42" i="13"/>
  <c r="F42" i="13"/>
  <c r="E42" i="13"/>
  <c r="D42" i="13"/>
  <c r="C42" i="13"/>
  <c r="J41" i="13"/>
  <c r="J42" i="13" s="1"/>
  <c r="P40" i="13"/>
  <c r="O40" i="13"/>
  <c r="N40" i="13"/>
  <c r="M40" i="13"/>
  <c r="L40" i="13"/>
  <c r="K40" i="13"/>
  <c r="I40" i="13"/>
  <c r="H40" i="13"/>
  <c r="G40" i="13"/>
  <c r="F40" i="13"/>
  <c r="E40" i="13"/>
  <c r="D40" i="13"/>
  <c r="C40" i="13"/>
  <c r="J39" i="13"/>
  <c r="J40" i="13" s="1"/>
  <c r="P38" i="13"/>
  <c r="O38" i="13"/>
  <c r="N38" i="13"/>
  <c r="M38" i="13"/>
  <c r="L38" i="13"/>
  <c r="K38" i="13"/>
  <c r="H38" i="13"/>
  <c r="G38" i="13"/>
  <c r="F38" i="13"/>
  <c r="E38" i="13"/>
  <c r="D38" i="13"/>
  <c r="C38" i="13"/>
  <c r="J37" i="13"/>
  <c r="J38" i="13" s="1"/>
  <c r="I37" i="13"/>
  <c r="I38" i="13" s="1"/>
  <c r="P36" i="13"/>
  <c r="O36" i="13"/>
  <c r="N36" i="13"/>
  <c r="M36" i="13"/>
  <c r="L36" i="13"/>
  <c r="K36" i="13"/>
  <c r="I36" i="13"/>
  <c r="H36" i="13"/>
  <c r="G36" i="13"/>
  <c r="E36" i="13"/>
  <c r="D36" i="13"/>
  <c r="C36" i="13"/>
  <c r="J35" i="13"/>
  <c r="J36" i="13" s="1"/>
  <c r="J31" i="13"/>
  <c r="I31" i="13"/>
  <c r="M22" i="13"/>
  <c r="K22" i="13"/>
  <c r="I22" i="13"/>
  <c r="G22" i="13"/>
  <c r="E22" i="13"/>
  <c r="D22" i="13"/>
  <c r="C22" i="13"/>
  <c r="J21" i="13"/>
  <c r="D20" i="13"/>
  <c r="C20" i="13"/>
  <c r="M18" i="13"/>
  <c r="K18" i="13"/>
  <c r="I18" i="13"/>
  <c r="G18" i="13"/>
  <c r="E18" i="13"/>
  <c r="D18" i="13"/>
  <c r="C18" i="13"/>
  <c r="J17" i="13"/>
  <c r="M16" i="13"/>
  <c r="K16" i="13"/>
  <c r="I16" i="13"/>
  <c r="G16" i="13"/>
  <c r="E16" i="13"/>
  <c r="D16" i="13"/>
  <c r="C16" i="13"/>
  <c r="J15" i="13"/>
  <c r="K14" i="13"/>
  <c r="I14" i="13"/>
  <c r="G14" i="13"/>
  <c r="E14" i="13"/>
  <c r="D14" i="13"/>
  <c r="C14" i="13"/>
  <c r="J13" i="13"/>
  <c r="M12" i="13"/>
  <c r="K12" i="13"/>
  <c r="I12" i="13"/>
  <c r="G12" i="13"/>
  <c r="E12" i="13"/>
  <c r="D12" i="13"/>
  <c r="C12" i="13"/>
  <c r="M10" i="13"/>
  <c r="K10" i="13"/>
  <c r="I10" i="13"/>
  <c r="G10" i="13"/>
  <c r="E10" i="13"/>
  <c r="D10" i="13"/>
  <c r="C10" i="13"/>
  <c r="J9" i="13"/>
  <c r="N8" i="13"/>
  <c r="M8" i="13"/>
  <c r="L8" i="13"/>
  <c r="K8" i="13"/>
  <c r="I8" i="13"/>
  <c r="G8" i="13"/>
  <c r="E8" i="13"/>
  <c r="D8" i="13"/>
  <c r="C8" i="13"/>
  <c r="N6" i="13"/>
  <c r="M6" i="13"/>
  <c r="L6" i="13"/>
  <c r="K6" i="13"/>
  <c r="J6" i="13"/>
  <c r="I6" i="13"/>
  <c r="H6" i="13"/>
  <c r="G6" i="13"/>
  <c r="F6" i="13"/>
  <c r="E6" i="13"/>
  <c r="N5" i="13"/>
  <c r="M5" i="13"/>
  <c r="L5" i="13"/>
  <c r="K5" i="13"/>
  <c r="J5" i="13"/>
  <c r="I5" i="13"/>
  <c r="H5" i="13"/>
  <c r="G5" i="13"/>
  <c r="F5" i="13"/>
  <c r="E5" i="13"/>
  <c r="N4" i="13"/>
  <c r="M4" i="13"/>
  <c r="L4" i="13"/>
  <c r="K4" i="13"/>
  <c r="J4" i="13"/>
  <c r="I4" i="13"/>
  <c r="H4" i="13"/>
  <c r="G4" i="13"/>
  <c r="F4" i="13"/>
  <c r="E4" i="13"/>
  <c r="S16" i="10" l="1"/>
  <c r="M16" i="10"/>
  <c r="G16" i="10"/>
  <c r="S14" i="10"/>
  <c r="M14" i="10"/>
  <c r="G14" i="10"/>
  <c r="S13" i="10"/>
  <c r="M13" i="10"/>
  <c r="G13" i="10"/>
  <c r="S12" i="10"/>
  <c r="M12" i="10"/>
  <c r="G12" i="10"/>
  <c r="S11" i="10"/>
  <c r="M11" i="10"/>
  <c r="G11" i="10"/>
  <c r="S10" i="10"/>
  <c r="M10" i="10"/>
  <c r="G10" i="10"/>
  <c r="S9" i="10"/>
  <c r="M9" i="10"/>
  <c r="G9" i="10"/>
  <c r="S8" i="10"/>
  <c r="M8" i="10"/>
  <c r="G8" i="10"/>
  <c r="S7" i="10"/>
  <c r="M7" i="10"/>
  <c r="G7" i="10"/>
  <c r="E7" i="10"/>
  <c r="D7" i="10"/>
  <c r="H27" i="9"/>
  <c r="G27" i="9"/>
  <c r="F27" i="9"/>
  <c r="E27" i="9"/>
  <c r="D27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P13" i="9"/>
  <c r="N13" i="9"/>
  <c r="H13" i="9"/>
  <c r="F13" i="9"/>
  <c r="D13" i="9"/>
  <c r="P11" i="9"/>
  <c r="N11" i="9"/>
  <c r="L11" i="9"/>
  <c r="H11" i="9"/>
  <c r="F11" i="9"/>
  <c r="D11" i="9"/>
  <c r="P10" i="9"/>
  <c r="N10" i="9"/>
  <c r="L10" i="9"/>
  <c r="H10" i="9"/>
  <c r="F10" i="9"/>
  <c r="D10" i="9"/>
  <c r="P9" i="9"/>
  <c r="N9" i="9"/>
  <c r="L9" i="9"/>
  <c r="H9" i="9"/>
  <c r="F9" i="9"/>
  <c r="D9" i="9"/>
  <c r="P8" i="9"/>
  <c r="N8" i="9"/>
  <c r="L8" i="9"/>
  <c r="H8" i="9"/>
  <c r="F8" i="9"/>
  <c r="D8" i="9"/>
  <c r="P7" i="9"/>
  <c r="N7" i="9"/>
  <c r="L7" i="9"/>
  <c r="H7" i="9"/>
  <c r="F7" i="9"/>
  <c r="D7" i="9"/>
  <c r="P6" i="9"/>
  <c r="N6" i="9"/>
  <c r="L6" i="9"/>
  <c r="H6" i="9"/>
  <c r="F6" i="9"/>
  <c r="D6" i="9"/>
  <c r="P5" i="9"/>
  <c r="N5" i="9"/>
  <c r="L5" i="9"/>
  <c r="H5" i="9"/>
  <c r="F5" i="9"/>
  <c r="D5" i="9"/>
  <c r="P4" i="9"/>
  <c r="N4" i="9"/>
  <c r="L4" i="9"/>
  <c r="H4" i="9"/>
  <c r="F4" i="9"/>
  <c r="D4" i="9"/>
</calcChain>
</file>

<file path=xl/sharedStrings.xml><?xml version="1.0" encoding="utf-8"?>
<sst xmlns="http://schemas.openxmlformats.org/spreadsheetml/2006/main" count="747" uniqueCount="222">
  <si>
    <t>全体</t>
    <rPh sb="0" eb="2">
      <t>ゼンタイ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</si>
  <si>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</si>
  <si>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</si>
  <si>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全国</t>
    <rPh sb="0" eb="2">
      <t>ゼンコク</t>
    </rPh>
    <phoneticPr fontId="2"/>
  </si>
  <si>
    <t>大阪</t>
    <rPh sb="0" eb="2">
      <t>オオサカ</t>
    </rPh>
    <phoneticPr fontId="2"/>
  </si>
  <si>
    <t>全年代平均</t>
    <rPh sb="0" eb="5">
      <t>ゼンネンダイヘイキン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</si>
  <si>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</si>
  <si>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</si>
  <si>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</si>
  <si>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</si>
  <si>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</si>
  <si>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</si>
  <si>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</si>
  <si>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20歳以上のみ</t>
    <rPh sb="2" eb="3">
      <t>サイ</t>
    </rPh>
    <rPh sb="3" eb="5">
      <t>イジョウ</t>
    </rPh>
    <phoneticPr fontId="2"/>
  </si>
  <si>
    <t>R5</t>
    <phoneticPr fontId="2"/>
  </si>
  <si>
    <t>R6</t>
    <phoneticPr fontId="2"/>
  </si>
  <si>
    <t>選択肢</t>
    <rPh sb="0" eb="3">
      <t>センタクシ</t>
    </rPh>
    <phoneticPr fontId="2"/>
  </si>
  <si>
    <t>増えた</t>
    <rPh sb="0" eb="1">
      <t>フ</t>
    </rPh>
    <phoneticPr fontId="2"/>
  </si>
  <si>
    <t>あまり変わらない・
変わらない</t>
    <rPh sb="3" eb="4">
      <t>カ</t>
    </rPh>
    <rPh sb="10" eb="11">
      <t>カ</t>
    </rPh>
    <phoneticPr fontId="2"/>
  </si>
  <si>
    <t>減った</t>
    <rPh sb="0" eb="1">
      <t>ヘ</t>
    </rPh>
    <phoneticPr fontId="2"/>
  </si>
  <si>
    <t>性別</t>
    <rPh sb="0" eb="2">
      <t>セイベツ</t>
    </rPh>
    <phoneticPr fontId="2"/>
  </si>
  <si>
    <t>性年代</t>
    <rPh sb="0" eb="1">
      <t>セイ</t>
    </rPh>
    <rPh sb="1" eb="3">
      <t>ネンダイ</t>
    </rPh>
    <phoneticPr fontId="2"/>
  </si>
  <si>
    <t>男性/10代</t>
    <rPh sb="0" eb="2">
      <t>ダンセイ</t>
    </rPh>
    <rPh sb="5" eb="6">
      <t>ダイ</t>
    </rPh>
    <phoneticPr fontId="2"/>
  </si>
  <si>
    <t>男性/20代</t>
    <rPh sb="0" eb="2">
      <t>ダンセイ</t>
    </rPh>
    <rPh sb="5" eb="6">
      <t>ダイ</t>
    </rPh>
    <phoneticPr fontId="2"/>
  </si>
  <si>
    <t>男性/30代</t>
    <rPh sb="0" eb="2">
      <t>ダンセイ</t>
    </rPh>
    <rPh sb="5" eb="6">
      <t>ダイ</t>
    </rPh>
    <phoneticPr fontId="2"/>
  </si>
  <si>
    <t>男性/40代</t>
    <rPh sb="0" eb="2">
      <t>ダンセイ</t>
    </rPh>
    <rPh sb="5" eb="6">
      <t>ダイ</t>
    </rPh>
    <phoneticPr fontId="2"/>
  </si>
  <si>
    <t>男性/50代</t>
    <rPh sb="0" eb="2">
      <t>ダンセイ</t>
    </rPh>
    <rPh sb="5" eb="6">
      <t>ダイ</t>
    </rPh>
    <phoneticPr fontId="2"/>
  </si>
  <si>
    <t>男性/60代</t>
    <rPh sb="0" eb="2">
      <t>ダンセイ</t>
    </rPh>
    <rPh sb="5" eb="6">
      <t>ダイ</t>
    </rPh>
    <phoneticPr fontId="2"/>
  </si>
  <si>
    <t>男性/70代</t>
    <rPh sb="0" eb="2">
      <t>ダンセイ</t>
    </rPh>
    <rPh sb="5" eb="6">
      <t>ダイ</t>
    </rPh>
    <phoneticPr fontId="2"/>
  </si>
  <si>
    <t>女性/10代</t>
    <rPh sb="0" eb="2">
      <t>ジョセイ</t>
    </rPh>
    <rPh sb="5" eb="6">
      <t>ダイ</t>
    </rPh>
    <phoneticPr fontId="2"/>
  </si>
  <si>
    <t>女性/20代</t>
    <rPh sb="0" eb="2">
      <t>ジョセイ</t>
    </rPh>
    <rPh sb="5" eb="6">
      <t>ダイ</t>
    </rPh>
    <phoneticPr fontId="2"/>
  </si>
  <si>
    <t>女性/30代</t>
    <rPh sb="0" eb="2">
      <t>ジョセイ</t>
    </rPh>
    <rPh sb="5" eb="6">
      <t>ダイ</t>
    </rPh>
    <phoneticPr fontId="2"/>
  </si>
  <si>
    <t>女性/40代</t>
    <rPh sb="0" eb="2">
      <t>ジョセイ</t>
    </rPh>
    <rPh sb="5" eb="6">
      <t>ダイ</t>
    </rPh>
    <phoneticPr fontId="2"/>
  </si>
  <si>
    <t>女性/50代</t>
    <rPh sb="0" eb="2">
      <t>ジョセイ</t>
    </rPh>
    <rPh sb="5" eb="6">
      <t>ダイ</t>
    </rPh>
    <phoneticPr fontId="2"/>
  </si>
  <si>
    <t>女性/60代</t>
    <rPh sb="0" eb="2">
      <t>ジョセイ</t>
    </rPh>
    <rPh sb="5" eb="6">
      <t>ダイ</t>
    </rPh>
    <phoneticPr fontId="2"/>
  </si>
  <si>
    <t>女性/70代</t>
    <rPh sb="0" eb="2">
      <t>ジョセイ</t>
    </rPh>
    <rPh sb="5" eb="6">
      <t>ダイ</t>
    </rPh>
    <phoneticPr fontId="2"/>
  </si>
  <si>
    <t>わからない</t>
    <phoneticPr fontId="2"/>
  </si>
  <si>
    <t>その他</t>
    <rPh sb="2" eb="3">
      <t>タ</t>
    </rPh>
    <phoneticPr fontId="2"/>
  </si>
  <si>
    <t>特に理由はない</t>
    <phoneticPr fontId="2"/>
  </si>
  <si>
    <t>大阪府</t>
    <rPh sb="0" eb="3">
      <t>オオサカフ</t>
    </rPh>
    <phoneticPr fontId="2"/>
  </si>
  <si>
    <t>仕事が忙しくなくなったから</t>
    <phoneticPr fontId="2"/>
  </si>
  <si>
    <t>家事が忙しくなくなったから</t>
    <phoneticPr fontId="2"/>
  </si>
  <si>
    <t>育児が忙しくなったから</t>
    <phoneticPr fontId="2"/>
  </si>
  <si>
    <t>介護が忙しくなったから</t>
    <phoneticPr fontId="2"/>
  </si>
  <si>
    <t>健康になったから</t>
    <phoneticPr fontId="2"/>
  </si>
  <si>
    <t>体力に自信がついたから</t>
    <phoneticPr fontId="2"/>
  </si>
  <si>
    <t>場所や施設ができたから</t>
    <phoneticPr fontId="2"/>
  </si>
  <si>
    <t>仲間ができたから</t>
    <phoneticPr fontId="2"/>
  </si>
  <si>
    <t>指導者がいるようになったから</t>
    <phoneticPr fontId="2"/>
  </si>
  <si>
    <t>お金に余裕ができたから</t>
    <phoneticPr fontId="2"/>
  </si>
  <si>
    <t>運動・スポーツが好きになったから</t>
    <phoneticPr fontId="2"/>
  </si>
  <si>
    <t>テレワーク等により時間に余裕ができたから</t>
    <phoneticPr fontId="2"/>
  </si>
  <si>
    <t>その他</t>
    <phoneticPr fontId="2"/>
  </si>
  <si>
    <t>仕事が忙しいから</t>
    <rPh sb="0" eb="2">
      <t>シゴト</t>
    </rPh>
    <rPh sb="3" eb="4">
      <t>イソガ</t>
    </rPh>
    <phoneticPr fontId="2"/>
  </si>
  <si>
    <t>面倒くさいから</t>
    <rPh sb="0" eb="2">
      <t>メンドウ</t>
    </rPh>
    <phoneticPr fontId="2"/>
  </si>
  <si>
    <t>体力が衰えたから</t>
    <rPh sb="0" eb="2">
      <t>タイリョク</t>
    </rPh>
    <rPh sb="3" eb="4">
      <t>オトロ</t>
    </rPh>
    <phoneticPr fontId="2"/>
  </si>
  <si>
    <t>家事が忙しいから</t>
    <rPh sb="0" eb="2">
      <t>カジ</t>
    </rPh>
    <rPh sb="3" eb="4">
      <t>イソガ</t>
    </rPh>
    <phoneticPr fontId="2"/>
  </si>
  <si>
    <t>お金に余裕がないから</t>
    <rPh sb="1" eb="2">
      <t>カネ</t>
    </rPh>
    <rPh sb="3" eb="5">
      <t>ヨユウ</t>
    </rPh>
    <phoneticPr fontId="2"/>
  </si>
  <si>
    <t>生活や仕事で身体を動かしているから</t>
    <rPh sb="0" eb="2">
      <t>セイカツ</t>
    </rPh>
    <rPh sb="3" eb="5">
      <t>シゴト</t>
    </rPh>
    <rPh sb="6" eb="8">
      <t>カラダ</t>
    </rPh>
    <rPh sb="9" eb="10">
      <t>ウゴ</t>
    </rPh>
    <phoneticPr fontId="2"/>
  </si>
  <si>
    <t>運動・スポーツが嫌いだから</t>
    <rPh sb="0" eb="2">
      <t>ウンドウ</t>
    </rPh>
    <rPh sb="8" eb="9">
      <t>キラ</t>
    </rPh>
    <phoneticPr fontId="2"/>
  </si>
  <si>
    <t>病気やけがをしているから</t>
    <rPh sb="0" eb="2">
      <t>ビョウキ</t>
    </rPh>
    <phoneticPr fontId="2"/>
  </si>
  <si>
    <t>場所や施設がないから</t>
    <rPh sb="0" eb="2">
      <t>バショ</t>
    </rPh>
    <rPh sb="3" eb="5">
      <t>シセツ</t>
    </rPh>
    <phoneticPr fontId="2"/>
  </si>
  <si>
    <t>育児が忙しいから</t>
    <rPh sb="0" eb="2">
      <t>イクジ</t>
    </rPh>
    <rPh sb="3" eb="4">
      <t>イソガ</t>
    </rPh>
    <phoneticPr fontId="2"/>
  </si>
  <si>
    <t>仲間がいないから</t>
    <rPh sb="0" eb="2">
      <t>ナカマ</t>
    </rPh>
    <phoneticPr fontId="2"/>
  </si>
  <si>
    <t>運動・スポーツ以上に大切なことがあるから</t>
    <rPh sb="0" eb="2">
      <t>ウンドウ</t>
    </rPh>
    <rPh sb="7" eb="9">
      <t>イジョウ</t>
    </rPh>
    <rPh sb="10" eb="12">
      <t>タイセツ</t>
    </rPh>
    <phoneticPr fontId="2"/>
  </si>
  <si>
    <t>十分に実施しているから</t>
    <rPh sb="0" eb="2">
      <t>ジュウブン</t>
    </rPh>
    <rPh sb="3" eb="5">
      <t>ジッシ</t>
    </rPh>
    <phoneticPr fontId="2"/>
  </si>
  <si>
    <t>介護が忙しいから</t>
    <rPh sb="0" eb="2">
      <t>カイゴ</t>
    </rPh>
    <rPh sb="3" eb="4">
      <t>イソガ</t>
    </rPh>
    <phoneticPr fontId="2"/>
  </si>
  <si>
    <t>指導者がいないから</t>
    <rPh sb="0" eb="3">
      <t>シドウシャ</t>
    </rPh>
    <phoneticPr fontId="2"/>
  </si>
  <si>
    <t>①令和５年度年代別スポーツ実施率【週1日以上】</t>
    <rPh sb="1" eb="3">
      <t>レイワ</t>
    </rPh>
    <rPh sb="4" eb="6">
      <t>ネンド</t>
    </rPh>
    <rPh sb="6" eb="9">
      <t>ネンダイベツ</t>
    </rPh>
    <rPh sb="13" eb="16">
      <t>ジッシリツ</t>
    </rPh>
    <rPh sb="17" eb="18">
      <t>シュウ</t>
    </rPh>
    <rPh sb="19" eb="20">
      <t>ニチ</t>
    </rPh>
    <rPh sb="20" eb="22">
      <t>イジョウ</t>
    </rPh>
    <phoneticPr fontId="2"/>
  </si>
  <si>
    <t>①令和４年度年代別スポーツ実施率【週1日以上】</t>
    <rPh sb="1" eb="3">
      <t>レイワ</t>
    </rPh>
    <rPh sb="4" eb="6">
      <t>ネンド</t>
    </rPh>
    <rPh sb="6" eb="9">
      <t>ネンダイベツ</t>
    </rPh>
    <rPh sb="13" eb="16">
      <t>ジッシリツ</t>
    </rPh>
    <rPh sb="17" eb="18">
      <t>シュウ</t>
    </rPh>
    <rPh sb="19" eb="20">
      <t>ニチ</t>
    </rPh>
    <rPh sb="20" eb="22">
      <t>イジョウ</t>
    </rPh>
    <phoneticPr fontId="2"/>
  </si>
  <si>
    <t>①令和６年度年代別スポーツ実施率【週1日以上】</t>
    <rPh sb="1" eb="3">
      <t>レイワ</t>
    </rPh>
    <rPh sb="4" eb="6">
      <t>ネンド</t>
    </rPh>
    <rPh sb="6" eb="9">
      <t>ネンダイベツ</t>
    </rPh>
    <rPh sb="13" eb="16">
      <t>ジッシリツ</t>
    </rPh>
    <rPh sb="17" eb="18">
      <t>シュウ</t>
    </rPh>
    <rPh sb="19" eb="20">
      <t>ニチ</t>
    </rPh>
    <rPh sb="20" eb="22">
      <t>イジョウ</t>
    </rPh>
    <phoneticPr fontId="2"/>
  </si>
  <si>
    <t>健康のため</t>
    <rPh sb="0" eb="2">
      <t>ケンコウ</t>
    </rPh>
    <phoneticPr fontId="2"/>
  </si>
  <si>
    <t>体力増進・維持のため</t>
    <rPh sb="0" eb="2">
      <t>タイリョク</t>
    </rPh>
    <rPh sb="2" eb="4">
      <t>ゾウシン</t>
    </rPh>
    <rPh sb="5" eb="7">
      <t>イジ</t>
    </rPh>
    <phoneticPr fontId="2"/>
  </si>
  <si>
    <t>運動不足を感じるから</t>
    <rPh sb="0" eb="4">
      <t>ウンドウブソク</t>
    </rPh>
    <rPh sb="5" eb="6">
      <t>カン</t>
    </rPh>
    <phoneticPr fontId="2"/>
  </si>
  <si>
    <t>筋力増進・維持のため</t>
    <rPh sb="0" eb="4">
      <t>キンリョクゾウシン</t>
    </rPh>
    <rPh sb="5" eb="7">
      <t>イジ</t>
    </rPh>
    <phoneticPr fontId="2"/>
  </si>
  <si>
    <t>楽しみ、気晴らしとして</t>
    <rPh sb="0" eb="1">
      <t>タノ</t>
    </rPh>
    <rPh sb="4" eb="6">
      <t>キバ</t>
    </rPh>
    <phoneticPr fontId="2"/>
  </si>
  <si>
    <t>肥満解消、ダイエットのため</t>
    <rPh sb="0" eb="4">
      <t>ヒマンカイショウ</t>
    </rPh>
    <phoneticPr fontId="2"/>
  </si>
  <si>
    <t>友人・仲間との交流として</t>
    <rPh sb="0" eb="2">
      <t>ユウジン</t>
    </rPh>
    <rPh sb="3" eb="5">
      <t>ナカマ</t>
    </rPh>
    <rPh sb="7" eb="9">
      <t>コウリュウ</t>
    </rPh>
    <phoneticPr fontId="2"/>
  </si>
  <si>
    <t>美容のため</t>
    <rPh sb="0" eb="2">
      <t>ビヨウ</t>
    </rPh>
    <phoneticPr fontId="2"/>
  </si>
  <si>
    <t>自己の記録や能力を向上させるため</t>
    <rPh sb="0" eb="2">
      <t>ジコ</t>
    </rPh>
    <rPh sb="3" eb="5">
      <t>キロク</t>
    </rPh>
    <rPh sb="6" eb="8">
      <t>ノウリョク</t>
    </rPh>
    <rPh sb="9" eb="11">
      <t>コウジョウ</t>
    </rPh>
    <phoneticPr fontId="2"/>
  </si>
  <si>
    <t>精神の修養や訓練のため</t>
    <rPh sb="0" eb="2">
      <t>セイシン</t>
    </rPh>
    <rPh sb="3" eb="5">
      <t>シュウヨウ</t>
    </rPh>
    <rPh sb="6" eb="8">
      <t>クンレン</t>
    </rPh>
    <phoneticPr fontId="2"/>
  </si>
  <si>
    <t>家族のふれあいとして</t>
    <rPh sb="0" eb="2">
      <t>カゾク</t>
    </rPh>
    <phoneticPr fontId="2"/>
  </si>
  <si>
    <t>n=</t>
    <phoneticPr fontId="2"/>
  </si>
  <si>
    <t>（直接現地で）</t>
    <rPh sb="1" eb="5">
      <t>チョクセツゲンチ</t>
    </rPh>
    <phoneticPr fontId="2"/>
  </si>
  <si>
    <t>（TV・インターネットで）</t>
    <phoneticPr fontId="2"/>
  </si>
  <si>
    <t>見た</t>
    <rPh sb="0" eb="1">
      <t>ミ</t>
    </rPh>
    <phoneticPr fontId="2"/>
  </si>
  <si>
    <t>見なかった</t>
    <rPh sb="0" eb="1">
      <t>ミ</t>
    </rPh>
    <phoneticPr fontId="2"/>
  </si>
  <si>
    <t>応援しているチームがあるから</t>
    <rPh sb="0" eb="2">
      <t>オウエン</t>
    </rPh>
    <phoneticPr fontId="2"/>
  </si>
  <si>
    <t>応援している選手がいるから</t>
    <rPh sb="0" eb="2">
      <t>オウエン</t>
    </rPh>
    <rPh sb="6" eb="8">
      <t>センシュ</t>
    </rPh>
    <phoneticPr fontId="2"/>
  </si>
  <si>
    <t>暇つぶしのため</t>
    <rPh sb="0" eb="1">
      <t>ヒマ</t>
    </rPh>
    <phoneticPr fontId="2"/>
  </si>
  <si>
    <t>ストレス発散のため</t>
    <rPh sb="4" eb="6">
      <t>ハッサン</t>
    </rPh>
    <phoneticPr fontId="2"/>
  </si>
  <si>
    <t>友人や家族に誘われたから</t>
    <rPh sb="0" eb="2">
      <t>ユウジン</t>
    </rPh>
    <rPh sb="3" eb="5">
      <t>カゾク</t>
    </rPh>
    <rPh sb="6" eb="7">
      <t>サソ</t>
    </rPh>
    <phoneticPr fontId="2"/>
  </si>
  <si>
    <t>家族・友人が出場していたかっら</t>
    <rPh sb="0" eb="2">
      <t>カゾク</t>
    </rPh>
    <rPh sb="3" eb="5">
      <t>ユウジン</t>
    </rPh>
    <rPh sb="6" eb="8">
      <t>シュツジョウ</t>
    </rPh>
    <phoneticPr fontId="2"/>
  </si>
  <si>
    <t>チケットがあったので</t>
    <phoneticPr fontId="2"/>
  </si>
  <si>
    <t>なんとなく・たまたま</t>
    <phoneticPr fontId="2"/>
  </si>
  <si>
    <t>その他</t>
    <rPh sb="2" eb="3">
      <t>ホカ</t>
    </rPh>
    <phoneticPr fontId="2"/>
  </si>
  <si>
    <t>１　試合等での直接観戦やグッズの購入、寄付等、積極雨滴に応援活動を行った</t>
    <rPh sb="2" eb="5">
      <t>シアイトウ</t>
    </rPh>
    <rPh sb="7" eb="11">
      <t>チョクセツカンセン</t>
    </rPh>
    <rPh sb="16" eb="18">
      <t>コウニュウ</t>
    </rPh>
    <rPh sb="19" eb="22">
      <t>キフトウ</t>
    </rPh>
    <rPh sb="23" eb="27">
      <t>セッキョクウテキ</t>
    </rPh>
    <rPh sb="28" eb="32">
      <t>オウエンカツドウ</t>
    </rPh>
    <rPh sb="33" eb="34">
      <t>オコナ</t>
    </rPh>
    <phoneticPr fontId="2"/>
  </si>
  <si>
    <t>２　テレビやインターネット等での観戦等、直接的ではないが応援活動を行った</t>
    <rPh sb="13" eb="14">
      <t>トウ</t>
    </rPh>
    <rPh sb="16" eb="19">
      <t>カンセントウ</t>
    </rPh>
    <rPh sb="20" eb="23">
      <t>チョクセツテキ</t>
    </rPh>
    <rPh sb="28" eb="32">
      <t>オウエンカツドウ</t>
    </rPh>
    <rPh sb="33" eb="34">
      <t>オコナ</t>
    </rPh>
    <phoneticPr fontId="2"/>
  </si>
  <si>
    <t>３　１，２のような応援活動は行っていないが、とても応援していた</t>
    <rPh sb="9" eb="13">
      <t>オウエンカツドウ</t>
    </rPh>
    <rPh sb="14" eb="15">
      <t>オコナ</t>
    </rPh>
    <rPh sb="25" eb="27">
      <t>オウエン</t>
    </rPh>
    <phoneticPr fontId="2"/>
  </si>
  <si>
    <t>４　１，２のような応援活動は行っていないし、少しだけ応援していた</t>
    <rPh sb="9" eb="13">
      <t>オウエンカツドウ</t>
    </rPh>
    <rPh sb="14" eb="15">
      <t>オコナ</t>
    </rPh>
    <rPh sb="22" eb="23">
      <t>スコ</t>
    </rPh>
    <rPh sb="26" eb="28">
      <t>オウエン</t>
    </rPh>
    <phoneticPr fontId="2"/>
  </si>
  <si>
    <t>５　その他</t>
    <rPh sb="4" eb="5">
      <t>タ</t>
    </rPh>
    <phoneticPr fontId="2"/>
  </si>
  <si>
    <t>６　この１年間に応援したチームや選手はなかった</t>
    <rPh sb="5" eb="7">
      <t>ネンカン</t>
    </rPh>
    <rPh sb="8" eb="10">
      <t>オウエン</t>
    </rPh>
    <rPh sb="16" eb="18">
      <t>センシュ</t>
    </rPh>
    <phoneticPr fontId="2"/>
  </si>
  <si>
    <t>運動・スポーツの指導（コーチ）</t>
    <rPh sb="0" eb="2">
      <t>ウンドウ</t>
    </rPh>
    <rPh sb="8" eb="10">
      <t>シドウ</t>
    </rPh>
    <phoneticPr fontId="2"/>
  </si>
  <si>
    <t>トレーナー</t>
    <phoneticPr fontId="2"/>
  </si>
  <si>
    <t>スポーツの審判</t>
    <rPh sb="5" eb="7">
      <t>シンパン</t>
    </rPh>
    <phoneticPr fontId="2"/>
  </si>
  <si>
    <t>スポーツクラブ・団体の運営や世話</t>
    <rPh sb="8" eb="10">
      <t>ダンタイ</t>
    </rPh>
    <rPh sb="11" eb="13">
      <t>ウンエイ</t>
    </rPh>
    <rPh sb="14" eb="16">
      <t>セワ</t>
    </rPh>
    <phoneticPr fontId="2"/>
  </si>
  <si>
    <t>スポーツ施設の管理の手伝い</t>
    <rPh sb="4" eb="6">
      <t>シセツ</t>
    </rPh>
    <rPh sb="7" eb="9">
      <t>カンリ</t>
    </rPh>
    <rPh sb="10" eb="12">
      <t>テツダ</t>
    </rPh>
    <phoneticPr fontId="2"/>
  </si>
  <si>
    <t>大会・イベントの運営や世話</t>
    <rPh sb="0" eb="2">
      <t>タイカイ</t>
    </rPh>
    <rPh sb="8" eb="10">
      <t>ウンエイ</t>
    </rPh>
    <rPh sb="11" eb="13">
      <t>セワ</t>
    </rPh>
    <phoneticPr fontId="2"/>
  </si>
  <si>
    <t>スポーツ団体・選手への寄付・クラウドファンディング等への参加</t>
    <rPh sb="4" eb="6">
      <t>ダンタイ</t>
    </rPh>
    <rPh sb="7" eb="9">
      <t>センシュ</t>
    </rPh>
    <rPh sb="11" eb="13">
      <t>キフ</t>
    </rPh>
    <rPh sb="25" eb="26">
      <t>トウ</t>
    </rPh>
    <rPh sb="28" eb="30">
      <t>サンカ</t>
    </rPh>
    <phoneticPr fontId="2"/>
  </si>
  <si>
    <t>行っていない</t>
    <rPh sb="0" eb="1">
      <t>オコナ</t>
    </rPh>
    <phoneticPr fontId="2"/>
  </si>
  <si>
    <t>自身やお子様が所属するスポーツ団体やクラブでの補助的な活動</t>
    <rPh sb="0" eb="2">
      <t>ジシン</t>
    </rPh>
    <rPh sb="4" eb="6">
      <t>コサマ</t>
    </rPh>
    <rPh sb="7" eb="9">
      <t>ショゾク</t>
    </rPh>
    <rPh sb="15" eb="17">
      <t>ダンタイ</t>
    </rPh>
    <rPh sb="23" eb="26">
      <t>ホジョテキ</t>
    </rPh>
    <rPh sb="27" eb="29">
      <t>カツドウ</t>
    </rPh>
    <phoneticPr fontId="2"/>
  </si>
  <si>
    <t>日常的・定期的に行った</t>
    <rPh sb="0" eb="3">
      <t>ニチジョウテキ</t>
    </rPh>
    <rPh sb="4" eb="7">
      <t>テイキテキ</t>
    </rPh>
    <rPh sb="8" eb="9">
      <t>オコナ</t>
    </rPh>
    <phoneticPr fontId="2"/>
  </si>
  <si>
    <t>不定期に行った</t>
    <rPh sb="0" eb="3">
      <t>フテイキ</t>
    </rPh>
    <rPh sb="4" eb="5">
      <t>オコナ</t>
    </rPh>
    <phoneticPr fontId="2"/>
  </si>
  <si>
    <t>好きなスポーツの普及・支援</t>
    <rPh sb="0" eb="1">
      <t>ス</t>
    </rPh>
    <rPh sb="8" eb="10">
      <t>フキュウ</t>
    </rPh>
    <rPh sb="11" eb="13">
      <t>シエン</t>
    </rPh>
    <phoneticPr fontId="2"/>
  </si>
  <si>
    <t>地域での居場所、役割、生きがい</t>
    <rPh sb="0" eb="2">
      <t>チイキ</t>
    </rPh>
    <rPh sb="4" eb="7">
      <t>イバショ</t>
    </rPh>
    <rPh sb="8" eb="10">
      <t>ヤクワリ</t>
    </rPh>
    <rPh sb="11" eb="12">
      <t>イ</t>
    </rPh>
    <phoneticPr fontId="2"/>
  </si>
  <si>
    <t>出会い、交流の場</t>
    <rPh sb="0" eb="2">
      <t>デア</t>
    </rPh>
    <rPh sb="4" eb="6">
      <t>コウリュウ</t>
    </rPh>
    <rPh sb="7" eb="8">
      <t>バ</t>
    </rPh>
    <phoneticPr fontId="2"/>
  </si>
  <si>
    <t>指導、大会運営スキルの取得・活用</t>
    <rPh sb="0" eb="2">
      <t>シドウ</t>
    </rPh>
    <rPh sb="3" eb="7">
      <t>タイカイウンエイ</t>
    </rPh>
    <rPh sb="11" eb="13">
      <t>シュトク</t>
    </rPh>
    <rPh sb="14" eb="16">
      <t>カツヨウ</t>
    </rPh>
    <phoneticPr fontId="2"/>
  </si>
  <si>
    <t>社会貢献</t>
    <rPh sb="0" eb="4">
      <t>シャカイコウケン</t>
    </rPh>
    <phoneticPr fontId="2"/>
  </si>
  <si>
    <t>顕彰や表彰</t>
    <rPh sb="0" eb="2">
      <t>ケンショウ</t>
    </rPh>
    <rPh sb="3" eb="5">
      <t>ヒョウショウ</t>
    </rPh>
    <phoneticPr fontId="2"/>
  </si>
  <si>
    <t>その大会・クラブ等への家族・友人の参加</t>
    <rPh sb="2" eb="4">
      <t>タイカイ</t>
    </rPh>
    <rPh sb="8" eb="9">
      <t>トウ</t>
    </rPh>
    <rPh sb="11" eb="13">
      <t>カゾク</t>
    </rPh>
    <rPh sb="14" eb="16">
      <t>ユウジン</t>
    </rPh>
    <rPh sb="17" eb="19">
      <t>サンカ</t>
    </rPh>
    <phoneticPr fontId="2"/>
  </si>
  <si>
    <t>実費程度の報酬</t>
    <rPh sb="0" eb="4">
      <t>ジッピテイド</t>
    </rPh>
    <rPh sb="5" eb="7">
      <t>ホウシュウ</t>
    </rPh>
    <phoneticPr fontId="2"/>
  </si>
  <si>
    <t>特に動機づけは必要ない</t>
    <rPh sb="0" eb="1">
      <t>トク</t>
    </rPh>
    <rPh sb="2" eb="4">
      <t>ドウキ</t>
    </rPh>
    <rPh sb="7" eb="9">
      <t>ヒツヨウ</t>
    </rPh>
    <phoneticPr fontId="2"/>
  </si>
  <si>
    <t>どんなきっかけや動機づけがあっても、しない・できない</t>
    <rPh sb="8" eb="10">
      <t>ドウキ</t>
    </rPh>
    <phoneticPr fontId="2"/>
  </si>
  <si>
    <t>(R5) well-being</t>
    <phoneticPr fontId="2"/>
  </si>
  <si>
    <t>十分充実感を感じている（①）</t>
    <phoneticPr fontId="2"/>
  </si>
  <si>
    <t>まあ充実感を
感じている（②）</t>
    <phoneticPr fontId="2"/>
  </si>
  <si>
    <t>感じている
（①＋②）</t>
    <phoneticPr fontId="2"/>
  </si>
  <si>
    <t>あまり充実感を
感じていない（③）</t>
    <phoneticPr fontId="2"/>
  </si>
  <si>
    <t>ほとんど充実感を
感じていない（④）</t>
    <phoneticPr fontId="2"/>
  </si>
  <si>
    <t>スポーツ参画状況</t>
    <rPh sb="4" eb="6">
      <t>サンカク</t>
    </rPh>
    <rPh sb="6" eb="8">
      <t>ジョウキョウ</t>
    </rPh>
    <phoneticPr fontId="2"/>
  </si>
  <si>
    <t>する・みる・ささえる</t>
    <phoneticPr fontId="2"/>
  </si>
  <si>
    <t>する・みる</t>
    <phoneticPr fontId="2"/>
  </si>
  <si>
    <t>する・ささえる</t>
    <phoneticPr fontId="2"/>
  </si>
  <si>
    <t>みる・ささえる</t>
    <phoneticPr fontId="2"/>
  </si>
  <si>
    <t>する　のみ</t>
    <phoneticPr fontId="2"/>
  </si>
  <si>
    <t>みる　のみ</t>
    <phoneticPr fontId="2"/>
  </si>
  <si>
    <t>ささえる　のみ</t>
    <phoneticPr fontId="2"/>
  </si>
  <si>
    <t>参画しなかった</t>
    <rPh sb="0" eb="2">
      <t>サンカク</t>
    </rPh>
    <phoneticPr fontId="2"/>
  </si>
  <si>
    <t>(R4) well-being</t>
    <phoneticPr fontId="2"/>
  </si>
  <si>
    <t>わからない
（※R5から削除）</t>
    <rPh sb="12" eb="14">
      <t>サクジョ</t>
    </rPh>
    <phoneticPr fontId="2"/>
  </si>
  <si>
    <t>【条件】</t>
    <rPh sb="1" eb="3">
      <t>ジョウケン</t>
    </rPh>
    <phoneticPr fontId="2"/>
  </si>
  <si>
    <t>※「する」の割合は、「この 1 年間に運動やスポーツを実施した日数」で１日以上と回答した者の割合</t>
    <phoneticPr fontId="2"/>
  </si>
  <si>
    <t>※「みる」の割合は、“直接現地”または“テレビやインターネット”のいずれかで観戦と回答した者の割合</t>
  </si>
  <si>
    <t>※「ささえる」の割合は、「運動・スポーツをささえる活動」で「行っていない」と「わからない」を除いた割合</t>
  </si>
  <si>
    <t>【回答例】</t>
    <rPh sb="1" eb="4">
      <t>カイトウレイ</t>
    </rPh>
    <phoneticPr fontId="2"/>
  </si>
  <si>
    <t>する・・・一般的なメジャースポーツ（野球、サッカー、バスケ）の他、ウォーキング、登山、キャンプ、階段昇降（2アップ3ダウン等）、レクリエーションスポーツ（スポーツチャンバラ、ダーツ）など</t>
    <rPh sb="5" eb="8">
      <t>イッパンテキ</t>
    </rPh>
    <rPh sb="18" eb="20">
      <t>ヤキュウ</t>
    </rPh>
    <rPh sb="31" eb="32">
      <t>ホカ</t>
    </rPh>
    <rPh sb="40" eb="42">
      <t>トザン</t>
    </rPh>
    <phoneticPr fontId="2"/>
  </si>
  <si>
    <t>みる・・・媒体（生観戦、テレビ、Youtube、サブスク配信など）関係なく全スポーツ</t>
    <rPh sb="5" eb="7">
      <t>バイタイ</t>
    </rPh>
    <rPh sb="8" eb="11">
      <t>ナマカンセン</t>
    </rPh>
    <rPh sb="28" eb="30">
      <t>ハイシン</t>
    </rPh>
    <rPh sb="33" eb="35">
      <t>カンケイ</t>
    </rPh>
    <rPh sb="37" eb="38">
      <t>ゼン</t>
    </rPh>
    <phoneticPr fontId="2"/>
  </si>
  <si>
    <t>ささえる・・・運動・スポーツの指導、トレーナー、スポーツの審判、スポーツクラブ・団体の運営や世話、</t>
  </si>
  <si>
    <t>　　スポーツ施設の管理の手伝い、大会・イベントの運営や世話、自身やお子様が所属するスポーツ団体やクラブでの補助的な活動、</t>
  </si>
  <si>
    <t xml:space="preserve">　　スポーツ団体・選手への寄付・クラウドファンディング等への参加（スポーツイベントでの募金やオークションなどのチャリティ活動含む） </t>
  </si>
  <si>
    <t>　　その他（回答者がスポーツ活動を支ていると感じていれば「ささえる」に該当）</t>
    <rPh sb="4" eb="5">
      <t>タ</t>
    </rPh>
    <rPh sb="6" eb="9">
      <t>カイトウシャ</t>
    </rPh>
    <rPh sb="14" eb="16">
      <t>カツドウ</t>
    </rPh>
    <rPh sb="17" eb="18">
      <t>ササ</t>
    </rPh>
    <rPh sb="22" eb="23">
      <t>カン</t>
    </rPh>
    <rPh sb="35" eb="37">
      <t>ガイトウ</t>
    </rPh>
    <phoneticPr fontId="2"/>
  </si>
  <si>
    <t>　　（応援活動、家族が大会に出場、出場者のマッサージ、観戦チケットの購入、開会式の演奏、グッズ販売、所属している連盟の人数を増やす活動、カメラマン）</t>
    <rPh sb="3" eb="5">
      <t>オウエン</t>
    </rPh>
    <rPh sb="5" eb="7">
      <t>カツドウ</t>
    </rPh>
    <rPh sb="8" eb="10">
      <t>カゾク</t>
    </rPh>
    <rPh sb="11" eb="13">
      <t>タイカイ</t>
    </rPh>
    <rPh sb="14" eb="16">
      <t>シュツジョウ</t>
    </rPh>
    <rPh sb="17" eb="20">
      <t>シュツジョウシャ</t>
    </rPh>
    <rPh sb="27" eb="29">
      <t>カンセン</t>
    </rPh>
    <rPh sb="34" eb="36">
      <t>コウニュウ</t>
    </rPh>
    <rPh sb="37" eb="40">
      <t>カイカイシキ</t>
    </rPh>
    <rPh sb="41" eb="43">
      <t>エンソウ</t>
    </rPh>
    <rPh sb="47" eb="49">
      <t>ハンバイ</t>
    </rPh>
    <phoneticPr fontId="2"/>
  </si>
  <si>
    <t>計算</t>
    <rPh sb="0" eb="2">
      <t>ケイサン</t>
    </rPh>
    <phoneticPr fontId="2"/>
  </si>
  <si>
    <t>人数</t>
    <rPh sb="0" eb="2">
      <t>ニンズウ</t>
    </rPh>
    <phoneticPr fontId="2"/>
  </si>
  <si>
    <t>20歳以上全体</t>
    <rPh sb="2" eb="7">
      <t>サイイジョウゼンタイ</t>
    </rPh>
    <phoneticPr fontId="2"/>
  </si>
  <si>
    <t>男性（20歳以上）</t>
    <rPh sb="0" eb="2">
      <t>ダンセイ</t>
    </rPh>
    <rPh sb="5" eb="8">
      <t>サイイジョウ</t>
    </rPh>
    <phoneticPr fontId="2"/>
  </si>
  <si>
    <t>女性（20歳以上）</t>
    <rPh sb="0" eb="2">
      <t>ジョセイ</t>
    </rPh>
    <rPh sb="5" eb="8">
      <t>サイイジョウ</t>
    </rPh>
    <phoneticPr fontId="2"/>
  </si>
  <si>
    <t>男性20代</t>
    <rPh sb="0" eb="2">
      <t>ダンセイ</t>
    </rPh>
    <rPh sb="4" eb="5">
      <t>ダイ</t>
    </rPh>
    <phoneticPr fontId="2"/>
  </si>
  <si>
    <t>男性30代</t>
    <rPh sb="0" eb="2">
      <t>ダンセイ</t>
    </rPh>
    <rPh sb="4" eb="5">
      <t>ダイ</t>
    </rPh>
    <phoneticPr fontId="2"/>
  </si>
  <si>
    <t>男性40代</t>
    <rPh sb="0" eb="2">
      <t>ダンセイ</t>
    </rPh>
    <rPh sb="4" eb="5">
      <t>ダイ</t>
    </rPh>
    <phoneticPr fontId="2"/>
  </si>
  <si>
    <t>男性50代</t>
    <rPh sb="0" eb="2">
      <t>ダンセイ</t>
    </rPh>
    <rPh sb="4" eb="5">
      <t>ダイ</t>
    </rPh>
    <phoneticPr fontId="2"/>
  </si>
  <si>
    <t>男性60代</t>
    <rPh sb="0" eb="2">
      <t>ダンセイ</t>
    </rPh>
    <rPh sb="4" eb="5">
      <t>ダイ</t>
    </rPh>
    <phoneticPr fontId="2"/>
  </si>
  <si>
    <t>男性70代</t>
    <rPh sb="0" eb="2">
      <t>ダンセイ</t>
    </rPh>
    <rPh sb="4" eb="5">
      <t>ダイ</t>
    </rPh>
    <phoneticPr fontId="2"/>
  </si>
  <si>
    <t>女性20代</t>
    <rPh sb="0" eb="2">
      <t>ジョセイ</t>
    </rPh>
    <rPh sb="4" eb="5">
      <t>ダイ</t>
    </rPh>
    <phoneticPr fontId="2"/>
  </si>
  <si>
    <t>女性30代</t>
    <rPh sb="0" eb="2">
      <t>ジョセイ</t>
    </rPh>
    <rPh sb="4" eb="5">
      <t>ダイ</t>
    </rPh>
    <phoneticPr fontId="2"/>
  </si>
  <si>
    <t>女性40代</t>
    <rPh sb="0" eb="2">
      <t>ジョセイ</t>
    </rPh>
    <rPh sb="4" eb="5">
      <t>ダイ</t>
    </rPh>
    <phoneticPr fontId="2"/>
  </si>
  <si>
    <t>女性50代</t>
    <rPh sb="0" eb="2">
      <t>ジョセイ</t>
    </rPh>
    <rPh sb="4" eb="5">
      <t>ダイ</t>
    </rPh>
    <phoneticPr fontId="2"/>
  </si>
  <si>
    <t>女性60代</t>
    <rPh sb="0" eb="2">
      <t>ジョセイ</t>
    </rPh>
    <rPh sb="4" eb="5">
      <t>ダイ</t>
    </rPh>
    <phoneticPr fontId="2"/>
  </si>
  <si>
    <t>女性70代</t>
    <rPh sb="0" eb="2">
      <t>ジョセイ</t>
    </rPh>
    <rPh sb="4" eb="5">
      <t>ダイ</t>
    </rPh>
    <phoneticPr fontId="2"/>
  </si>
  <si>
    <t>週に５日以上したい</t>
    <rPh sb="0" eb="1">
      <t>シュウ</t>
    </rPh>
    <rPh sb="3" eb="4">
      <t>ニチ</t>
    </rPh>
    <rPh sb="4" eb="6">
      <t>イジョウ</t>
    </rPh>
    <phoneticPr fontId="2"/>
  </si>
  <si>
    <t>週に３日以上したい</t>
    <rPh sb="0" eb="1">
      <t>シュウ</t>
    </rPh>
    <rPh sb="3" eb="4">
      <t>ニチ</t>
    </rPh>
    <rPh sb="4" eb="6">
      <t>イジョウ</t>
    </rPh>
    <phoneticPr fontId="2"/>
  </si>
  <si>
    <t>週に２日以上したい</t>
    <rPh sb="0" eb="1">
      <t>シュウ</t>
    </rPh>
    <rPh sb="3" eb="4">
      <t>ニチ</t>
    </rPh>
    <rPh sb="4" eb="6">
      <t>イジョウ</t>
    </rPh>
    <phoneticPr fontId="2"/>
  </si>
  <si>
    <t>週に１日以上したい</t>
    <rPh sb="0" eb="1">
      <t>シュウ</t>
    </rPh>
    <rPh sb="3" eb="4">
      <t>ニチ</t>
    </rPh>
    <rPh sb="4" eb="6">
      <t>イジョウ</t>
    </rPh>
    <phoneticPr fontId="2"/>
  </si>
  <si>
    <t>年に１～３日したい</t>
    <phoneticPr fontId="2"/>
  </si>
  <si>
    <t>実施したくない</t>
    <phoneticPr fontId="2"/>
  </si>
  <si>
    <t>月に１～３日したい</t>
    <rPh sb="0" eb="1">
      <t>ツキ</t>
    </rPh>
    <rPh sb="5" eb="6">
      <t>ニチ</t>
    </rPh>
    <phoneticPr fontId="2"/>
  </si>
  <si>
    <t>３か月に１～２日したい</t>
    <rPh sb="2" eb="3">
      <t>ゲツ</t>
    </rPh>
    <rPh sb="7" eb="8">
      <t>ニチ</t>
    </rPh>
    <phoneticPr fontId="2"/>
  </si>
  <si>
    <t>運動・スポーツ実施希望率
（週１日以上計）</t>
    <rPh sb="0" eb="2">
      <t>ウンドウ</t>
    </rPh>
    <rPh sb="7" eb="11">
      <t>ジッシキボウ</t>
    </rPh>
    <rPh sb="11" eb="12">
      <t>リツ</t>
    </rPh>
    <rPh sb="14" eb="15">
      <t>シュウ</t>
    </rPh>
    <rPh sb="16" eb="17">
      <t>ニチ</t>
    </rPh>
    <rPh sb="17" eb="19">
      <t>イジョウ</t>
    </rPh>
    <rPh sb="19" eb="20">
      <t>ケイ</t>
    </rPh>
    <phoneticPr fontId="2"/>
  </si>
  <si>
    <t>運動・スポーツ実施率
（週１日以上計）</t>
    <phoneticPr fontId="2"/>
  </si>
  <si>
    <t>実施希望率と実施率の差</t>
    <rPh sb="0" eb="5">
      <t>ジッシキボウリツ</t>
    </rPh>
    <rPh sb="6" eb="9">
      <t>ジッシリツ</t>
    </rPh>
    <rPh sb="10" eb="11">
      <t>サ</t>
    </rPh>
    <phoneticPr fontId="2"/>
  </si>
  <si>
    <t>９点</t>
    <rPh sb="1" eb="2">
      <t>テン</t>
    </rPh>
    <phoneticPr fontId="2"/>
  </si>
  <si>
    <t>８点</t>
    <rPh sb="1" eb="2">
      <t>テン</t>
    </rPh>
    <phoneticPr fontId="2"/>
  </si>
  <si>
    <t>７点</t>
    <rPh sb="1" eb="2">
      <t>テン</t>
    </rPh>
    <phoneticPr fontId="2"/>
  </si>
  <si>
    <t>６点</t>
    <rPh sb="1" eb="2">
      <t>テン</t>
    </rPh>
    <phoneticPr fontId="2"/>
  </si>
  <si>
    <t>５点</t>
    <rPh sb="1" eb="2">
      <t>テン</t>
    </rPh>
    <phoneticPr fontId="2"/>
  </si>
  <si>
    <t>４点</t>
    <rPh sb="1" eb="2">
      <t>テン</t>
    </rPh>
    <phoneticPr fontId="2"/>
  </si>
  <si>
    <t>３点</t>
    <rPh sb="1" eb="2">
      <t>テン</t>
    </rPh>
    <phoneticPr fontId="2"/>
  </si>
  <si>
    <t>２点</t>
    <rPh sb="1" eb="2">
      <t>テン</t>
    </rPh>
    <phoneticPr fontId="2"/>
  </si>
  <si>
    <t>１点</t>
    <rPh sb="1" eb="2">
      <t>テン</t>
    </rPh>
    <phoneticPr fontId="2"/>
  </si>
  <si>
    <t>①年代別スポーツ実施率【週1日以上】</t>
    <rPh sb="1" eb="4">
      <t>ネンダイベツ</t>
    </rPh>
    <rPh sb="8" eb="11">
      <t>ジッシリツ</t>
    </rPh>
    <rPh sb="12" eb="13">
      <t>シュウ</t>
    </rPh>
    <rPh sb="14" eb="15">
      <t>ニチ</t>
    </rPh>
    <rPh sb="15" eb="17">
      <t>イジョウ</t>
    </rPh>
    <phoneticPr fontId="2"/>
  </si>
  <si>
    <t>⑦この１年間に観戦したスポーツ</t>
    <rPh sb="4" eb="6">
      <t>ネンカン</t>
    </rPh>
    <rPh sb="7" eb="9">
      <t>カンセン</t>
    </rPh>
    <phoneticPr fontId="2"/>
  </si>
  <si>
    <t>⑧観戦理由</t>
    <rPh sb="1" eb="5">
      <t>カンセンリユウ</t>
    </rPh>
    <phoneticPr fontId="2"/>
  </si>
  <si>
    <t>⑨この１年間に「スポーツや選手」を応援した頻度</t>
    <rPh sb="4" eb="6">
      <t>ネンカン</t>
    </rPh>
    <rPh sb="13" eb="15">
      <t>センシュ</t>
    </rPh>
    <rPh sb="17" eb="19">
      <t>オウエン</t>
    </rPh>
    <rPh sb="21" eb="23">
      <t>ヒンド</t>
    </rPh>
    <phoneticPr fontId="2"/>
  </si>
  <si>
    <t>⑩この１年間に行った支える活動</t>
    <rPh sb="4" eb="6">
      <t>ネンカン</t>
    </rPh>
    <rPh sb="7" eb="8">
      <t>オコナ</t>
    </rPh>
    <rPh sb="10" eb="11">
      <t>ササ</t>
    </rPh>
    <rPh sb="13" eb="15">
      <t>カツドウ</t>
    </rPh>
    <phoneticPr fontId="2"/>
  </si>
  <si>
    <t>⑪この１年間に支える活動を行った頻度</t>
    <rPh sb="13" eb="14">
      <t>オコナ</t>
    </rPh>
    <rPh sb="16" eb="18">
      <t>ヒンド</t>
    </rPh>
    <phoneticPr fontId="2"/>
  </si>
  <si>
    <t>⑫どんなきっかけや動機づけがあれば、ささえる活動を行ったり続けたりすると思うか</t>
    <rPh sb="9" eb="11">
      <t>ドウキ</t>
    </rPh>
    <rPh sb="22" eb="24">
      <t>カツドウ</t>
    </rPh>
    <rPh sb="25" eb="26">
      <t>オコナ</t>
    </rPh>
    <rPh sb="29" eb="30">
      <t>ツヅ</t>
    </rPh>
    <rPh sb="36" eb="37">
      <t>オモ</t>
    </rPh>
    <phoneticPr fontId="2"/>
  </si>
  <si>
    <t>⑬スポーツによる充実感</t>
    <rPh sb="8" eb="11">
      <t>ジュウジツカン</t>
    </rPh>
    <phoneticPr fontId="2"/>
  </si>
  <si>
    <t>R7</t>
    <phoneticPr fontId="2"/>
  </si>
  <si>
    <t>(R７) well-being</t>
    <phoneticPr fontId="2"/>
  </si>
  <si>
    <t>そのスポーツが好きだから</t>
    <rPh sb="7" eb="8">
      <t>ス</t>
    </rPh>
    <phoneticPr fontId="2"/>
  </si>
  <si>
    <t>そのスポーツを実施しているから</t>
    <rPh sb="7" eb="9">
      <t>ジッシ</t>
    </rPh>
    <phoneticPr fontId="2"/>
  </si>
  <si>
    <t>以前そのスポーツを実施していたので</t>
    <rPh sb="0" eb="2">
      <t>イゼン</t>
    </rPh>
    <rPh sb="9" eb="11">
      <t>ジッシ</t>
    </rPh>
    <phoneticPr fontId="2"/>
  </si>
  <si>
    <t>R５</t>
    <phoneticPr fontId="2"/>
  </si>
  <si>
    <t>R６</t>
    <phoneticPr fontId="2"/>
  </si>
  <si>
    <t>R７</t>
    <phoneticPr fontId="2"/>
  </si>
  <si>
    <t>※「する」の割合は、「この 1 年間に運動やスポーツを実施した日数」で週に１日以上と回答した者の割合</t>
    <rPh sb="35" eb="36">
      <t>シュウ</t>
    </rPh>
    <phoneticPr fontId="2"/>
  </si>
  <si>
    <t>R7　大阪府のスポーツ参画状況（する・みる・ささえる）の割合　（　　）内は全体数字　【20～79歳】</t>
    <rPh sb="3" eb="6">
      <t>オオサカフ</t>
    </rPh>
    <rPh sb="35" eb="36">
      <t>ナイ</t>
    </rPh>
    <rPh sb="37" eb="39">
      <t>ゼンタイ</t>
    </rPh>
    <rPh sb="39" eb="41">
      <t>スウジ</t>
    </rPh>
    <rPh sb="48" eb="49">
      <t>サイ</t>
    </rPh>
    <phoneticPr fontId="2"/>
  </si>
  <si>
    <t>令和７年度「スポーツの実施状況等に関する世論調査」集計表（抜粋）</t>
    <phoneticPr fontId="2"/>
  </si>
  <si>
    <t>　</t>
    <phoneticPr fontId="2"/>
  </si>
  <si>
    <t>　　</t>
    <phoneticPr fontId="2"/>
  </si>
  <si>
    <t xml:space="preserve">ささえる・・・運動・スポーツの指導、トレーナー、スポーツの審判、スポーツクラブ・団体の運営や世話、スポーツ施設の管理の手伝い、大会・イベントの運営や世話、自身やお子様が所属するスポーツ団体やクラブでの補助的な活動、スポーツ団体・選手への寄付・クラウドファンディング等への参加
　　　　　　　　　（スポーツイベントでの募金やオークションなどのチャリティ活動含む）
　　　　　　　　　その他（回答者がスポーツ活動を支ていると感じていれば「ささえる」に該当）（応援活動、家族が大会に出場、出場者のマッサージ、観戦チケットの購入、開会式の演奏、グッズ販売、所属している連盟の人数を増やす活動、カメラマン）
</t>
    <phoneticPr fontId="2"/>
  </si>
  <si>
    <r>
      <rPr>
        <b/>
        <sz val="16"/>
        <color theme="1"/>
        <rFont val="UD デジタル 教科書体 NK-R"/>
        <family val="1"/>
        <charset val="128"/>
      </rPr>
      <t>10点</t>
    </r>
    <r>
      <rPr>
        <b/>
        <sz val="12"/>
        <color theme="1"/>
        <rFont val="UD デジタル 教科書体 NK-R"/>
        <family val="1"/>
        <charset val="128"/>
      </rPr>
      <t xml:space="preserve">
十分充実感を感じている</t>
    </r>
    <rPh sb="2" eb="3">
      <t>テン</t>
    </rPh>
    <phoneticPr fontId="2"/>
  </si>
  <si>
    <r>
      <rPr>
        <b/>
        <sz val="16"/>
        <color theme="1"/>
        <rFont val="UD デジタル 教科書体 NK-R"/>
        <family val="1"/>
        <charset val="128"/>
      </rPr>
      <t>10点から７点</t>
    </r>
    <r>
      <rPr>
        <b/>
        <sz val="11"/>
        <color theme="1"/>
        <rFont val="UD デジタル 教科書体 NK-R"/>
        <family val="1"/>
        <charset val="128"/>
      </rPr>
      <t xml:space="preserve">
充実感を感じていると仮定</t>
    </r>
    <rPh sb="8" eb="11">
      <t>ジュウジツカン</t>
    </rPh>
    <rPh sb="12" eb="13">
      <t>カン</t>
    </rPh>
    <rPh sb="18" eb="20">
      <t>カテイ</t>
    </rPh>
    <phoneticPr fontId="2"/>
  </si>
  <si>
    <r>
      <rPr>
        <b/>
        <sz val="16"/>
        <color theme="1"/>
        <rFont val="UD デジタル 教科書体 NK-R"/>
        <family val="1"/>
        <charset val="128"/>
      </rPr>
      <t>０点</t>
    </r>
    <r>
      <rPr>
        <b/>
        <sz val="11"/>
        <color theme="1"/>
        <rFont val="UD デジタル 教科書体 NK-R"/>
        <family val="1"/>
        <charset val="128"/>
      </rPr>
      <t xml:space="preserve">
ほとんど（全く）充実感を感じていない</t>
    </r>
    <rPh sb="1" eb="2">
      <t>テン</t>
    </rPh>
    <rPh sb="8" eb="9">
      <t>マッタ</t>
    </rPh>
    <phoneticPr fontId="2"/>
  </si>
  <si>
    <t>参考１</t>
    <rPh sb="0" eb="2">
      <t>サンコウ</t>
    </rPh>
    <phoneticPr fontId="2"/>
  </si>
  <si>
    <t>②運動・スポーツを実施した理由</t>
    <rPh sb="1" eb="3">
      <t>ウンドウ</t>
    </rPh>
    <rPh sb="9" eb="11">
      <t>ジッシ</t>
    </rPh>
    <rPh sb="13" eb="15">
      <t>リユウ</t>
    </rPh>
    <phoneticPr fontId="2"/>
  </si>
  <si>
    <t>③年代別スポーツ実施希望率</t>
    <rPh sb="1" eb="4">
      <t>ネンダイベツ</t>
    </rPh>
    <rPh sb="8" eb="10">
      <t>ジッシ</t>
    </rPh>
    <rPh sb="10" eb="13">
      <t>キボウリツ</t>
    </rPh>
    <phoneticPr fontId="2"/>
  </si>
  <si>
    <t>④年代別スポーツ実施頻度</t>
    <rPh sb="1" eb="4">
      <t>ネンダイベツ</t>
    </rPh>
    <rPh sb="8" eb="10">
      <t>ジッシ</t>
    </rPh>
    <rPh sb="10" eb="11">
      <t>ヒン</t>
    </rPh>
    <phoneticPr fontId="2"/>
  </si>
  <si>
    <t>⑤運動・スポーツの実施が増加した理由</t>
    <rPh sb="1" eb="3">
      <t>ウンドウ</t>
    </rPh>
    <rPh sb="9" eb="11">
      <t>ジッシ</t>
    </rPh>
    <rPh sb="12" eb="14">
      <t>ゾウカ</t>
    </rPh>
    <rPh sb="16" eb="18">
      <t>リユウ</t>
    </rPh>
    <phoneticPr fontId="2"/>
  </si>
  <si>
    <t>⑥運動・スポーツの実施阻害要因</t>
    <rPh sb="1" eb="3">
      <t>ウンドウ</t>
    </rPh>
    <rPh sb="9" eb="11">
      <t>ジッシ</t>
    </rPh>
    <rPh sb="11" eb="15">
      <t>ソガイヨウイン</t>
    </rPh>
    <phoneticPr fontId="2"/>
  </si>
  <si>
    <t>家族・友人が出場していたから</t>
    <rPh sb="0" eb="2">
      <t>カゾク</t>
    </rPh>
    <rPh sb="3" eb="5">
      <t>ユウジン</t>
    </rPh>
    <rPh sb="6" eb="8">
      <t>シュツジョウ</t>
    </rPh>
    <phoneticPr fontId="2"/>
  </si>
  <si>
    <t>１　試合等での直接観戦やグッズの購入、寄付等、積極的に応援活動を行った</t>
    <rPh sb="2" eb="5">
      <t>シアイトウ</t>
    </rPh>
    <rPh sb="7" eb="11">
      <t>チョクセツカンセン</t>
    </rPh>
    <rPh sb="16" eb="18">
      <t>コウニュウ</t>
    </rPh>
    <rPh sb="19" eb="22">
      <t>キフトウ</t>
    </rPh>
    <rPh sb="23" eb="26">
      <t>セッキョクテキ</t>
    </rPh>
    <rPh sb="27" eb="31">
      <t>オウエンカツドウ</t>
    </rPh>
    <rPh sb="32" eb="33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</si>
</sst>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_ "/>
    <numFmt numFmtId="178" formatCode="#,##0.0_ "/>
    <numFmt numFmtId="179" formatCode="0.000000000000000%"/>
    <numFmt numFmtId="180" formatCode="0.0_ "/>
    <numFmt numFmtId="181" formatCode="#,##0.000000;[Red]\-#,##0.000000"/>
    <numFmt numFmtId="182" formatCode="#,##0_);[Red]\(#,##0\)"/>
    <numFmt numFmtId="183" formatCode="0.0_);[Red]\(0.0\)"/>
    <numFmt numFmtId="184" formatCode="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28"/>
      <color theme="1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1" applyNumberFormat="1" applyFont="1" applyBorder="1">
      <alignment vertical="center"/>
    </xf>
    <xf numFmtId="176" fontId="0" fillId="2" borderId="1" xfId="1" applyNumberFormat="1" applyFont="1" applyFill="1" applyBorder="1">
      <alignment vertical="center"/>
    </xf>
    <xf numFmtId="0" fontId="0" fillId="0" borderId="5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2" borderId="5" xfId="1" applyNumberFormat="1" applyFont="1" applyFill="1" applyBorder="1">
      <alignment vertical="center"/>
    </xf>
    <xf numFmtId="0" fontId="0" fillId="0" borderId="4" xfId="0" applyBorder="1">
      <alignment vertical="center"/>
    </xf>
    <xf numFmtId="176" fontId="0" fillId="0" borderId="4" xfId="1" applyNumberFormat="1" applyFont="1" applyBorder="1">
      <alignment vertical="center"/>
    </xf>
    <xf numFmtId="176" fontId="0" fillId="2" borderId="4" xfId="1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176" fontId="0" fillId="0" borderId="0" xfId="1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9" fontId="0" fillId="0" borderId="0" xfId="0" applyNumberFormat="1">
      <alignment vertical="center"/>
    </xf>
    <xf numFmtId="38" fontId="0" fillId="0" borderId="0" xfId="2" applyFont="1">
      <alignment vertical="center"/>
    </xf>
    <xf numFmtId="0" fontId="3" fillId="0" borderId="0" xfId="0" applyFont="1" applyAlignment="1">
      <alignment vertical="center" wrapText="1"/>
    </xf>
    <xf numFmtId="38" fontId="3" fillId="4" borderId="15" xfId="2" applyFont="1" applyFill="1" applyBorder="1" applyAlignment="1">
      <alignment horizontal="center" vertical="center" wrapText="1"/>
    </xf>
    <xf numFmtId="38" fontId="3" fillId="0" borderId="15" xfId="2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 wrapText="1"/>
    </xf>
    <xf numFmtId="38" fontId="0" fillId="4" borderId="20" xfId="2" applyFont="1" applyFill="1" applyBorder="1">
      <alignment vertical="center"/>
    </xf>
    <xf numFmtId="38" fontId="0" fillId="0" borderId="20" xfId="2" applyFont="1" applyBorder="1">
      <alignment vertical="center"/>
    </xf>
    <xf numFmtId="38" fontId="0" fillId="0" borderId="20" xfId="2" applyFont="1" applyFill="1" applyBorder="1">
      <alignment vertical="center"/>
    </xf>
    <xf numFmtId="0" fontId="3" fillId="0" borderId="21" xfId="0" applyFont="1" applyBorder="1">
      <alignment vertical="center"/>
    </xf>
    <xf numFmtId="38" fontId="0" fillId="4" borderId="22" xfId="2" applyFont="1" applyFill="1" applyBorder="1">
      <alignment vertical="center"/>
    </xf>
    <xf numFmtId="38" fontId="0" fillId="0" borderId="22" xfId="2" applyFont="1" applyBorder="1">
      <alignment vertical="center"/>
    </xf>
    <xf numFmtId="176" fontId="0" fillId="4" borderId="22" xfId="1" applyNumberFormat="1" applyFont="1" applyFill="1" applyBorder="1">
      <alignment vertical="center"/>
    </xf>
    <xf numFmtId="176" fontId="0" fillId="0" borderId="22" xfId="1" applyNumberFormat="1" applyFont="1" applyBorder="1">
      <alignment vertical="center"/>
    </xf>
    <xf numFmtId="176" fontId="0" fillId="0" borderId="20" xfId="1" applyNumberFormat="1" applyFont="1" applyFill="1" applyBorder="1">
      <alignment vertical="center"/>
    </xf>
    <xf numFmtId="0" fontId="3" fillId="0" borderId="23" xfId="0" applyFont="1" applyBorder="1">
      <alignment vertical="center"/>
    </xf>
    <xf numFmtId="38" fontId="0" fillId="4" borderId="24" xfId="2" applyFont="1" applyFill="1" applyBorder="1">
      <alignment vertical="center"/>
    </xf>
    <xf numFmtId="38" fontId="0" fillId="0" borderId="24" xfId="2" applyFont="1" applyBorder="1">
      <alignment vertical="center"/>
    </xf>
    <xf numFmtId="176" fontId="0" fillId="4" borderId="24" xfId="1" applyNumberFormat="1" applyFont="1" applyFill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Fill="1" applyBorder="1">
      <alignment vertical="center"/>
    </xf>
    <xf numFmtId="0" fontId="0" fillId="4" borderId="28" xfId="2" applyNumberFormat="1" applyFont="1" applyFill="1" applyBorder="1">
      <alignment vertical="center"/>
    </xf>
    <xf numFmtId="0" fontId="0" fillId="0" borderId="28" xfId="2" applyNumberFormat="1" applyFont="1" applyBorder="1">
      <alignment vertical="center"/>
    </xf>
    <xf numFmtId="38" fontId="0" fillId="0" borderId="28" xfId="2" applyFont="1" applyBorder="1">
      <alignment vertical="center"/>
    </xf>
    <xf numFmtId="38" fontId="0" fillId="4" borderId="28" xfId="2" applyFont="1" applyFill="1" applyBorder="1">
      <alignment vertical="center"/>
    </xf>
    <xf numFmtId="38" fontId="6" fillId="5" borderId="28" xfId="2" applyFont="1" applyFill="1" applyBorder="1">
      <alignment vertical="center"/>
    </xf>
    <xf numFmtId="176" fontId="0" fillId="4" borderId="31" xfId="1" applyNumberFormat="1" applyFont="1" applyFill="1" applyBorder="1">
      <alignment vertical="center"/>
    </xf>
    <xf numFmtId="176" fontId="0" fillId="0" borderId="31" xfId="1" applyNumberFormat="1" applyFont="1" applyBorder="1">
      <alignment vertical="center"/>
    </xf>
    <xf numFmtId="176" fontId="6" fillId="5" borderId="31" xfId="1" applyNumberFormat="1" applyFont="1" applyFill="1" applyBorder="1">
      <alignment vertical="center"/>
    </xf>
    <xf numFmtId="176" fontId="6" fillId="5" borderId="30" xfId="1" applyNumberFormat="1" applyFont="1" applyFill="1" applyBorder="1">
      <alignment vertical="center"/>
    </xf>
    <xf numFmtId="176" fontId="0" fillId="0" borderId="30" xfId="1" applyNumberFormat="1" applyFont="1" applyFill="1" applyBorder="1">
      <alignment vertical="center"/>
    </xf>
    <xf numFmtId="9" fontId="0" fillId="4" borderId="31" xfId="1" applyFont="1" applyFill="1" applyBorder="1">
      <alignment vertical="center"/>
    </xf>
    <xf numFmtId="38" fontId="0" fillId="4" borderId="27" xfId="2" applyFont="1" applyFill="1" applyBorder="1">
      <alignment vertical="center"/>
    </xf>
    <xf numFmtId="38" fontId="0" fillId="0" borderId="27" xfId="2" applyFont="1" applyBorder="1">
      <alignment vertical="center"/>
    </xf>
    <xf numFmtId="0" fontId="0" fillId="4" borderId="27" xfId="2" applyNumberFormat="1" applyFont="1" applyFill="1" applyBorder="1">
      <alignment vertical="center"/>
    </xf>
    <xf numFmtId="38" fontId="6" fillId="6" borderId="27" xfId="2" applyFont="1" applyFill="1" applyBorder="1">
      <alignment vertical="center"/>
    </xf>
    <xf numFmtId="38" fontId="6" fillId="6" borderId="28" xfId="2" applyFont="1" applyFill="1" applyBorder="1">
      <alignment vertical="center"/>
    </xf>
    <xf numFmtId="38" fontId="0" fillId="4" borderId="16" xfId="2" applyFont="1" applyFill="1" applyBorder="1">
      <alignment vertical="center"/>
    </xf>
    <xf numFmtId="38" fontId="0" fillId="0" borderId="1" xfId="2" applyFont="1" applyBorder="1">
      <alignment vertical="center"/>
    </xf>
    <xf numFmtId="38" fontId="0" fillId="4" borderId="17" xfId="2" applyFont="1" applyFill="1" applyBorder="1">
      <alignment vertical="center"/>
    </xf>
    <xf numFmtId="176" fontId="6" fillId="6" borderId="31" xfId="1" applyNumberFormat="1" applyFont="1" applyFill="1" applyBorder="1">
      <alignment vertical="center"/>
    </xf>
    <xf numFmtId="176" fontId="6" fillId="6" borderId="30" xfId="1" applyNumberFormat="1" applyFont="1" applyFill="1" applyBorder="1">
      <alignment vertical="center"/>
    </xf>
    <xf numFmtId="0" fontId="3" fillId="0" borderId="35" xfId="0" applyFont="1" applyBorder="1">
      <alignment vertical="center"/>
    </xf>
    <xf numFmtId="181" fontId="0" fillId="0" borderId="0" xfId="2" applyNumberFormat="1" applyFont="1">
      <alignment vertical="center"/>
    </xf>
    <xf numFmtId="0" fontId="3" fillId="7" borderId="27" xfId="0" applyFont="1" applyFill="1" applyBorder="1" applyAlignment="1">
      <alignment horizontal="center" vertical="center" wrapText="1"/>
    </xf>
    <xf numFmtId="38" fontId="3" fillId="7" borderId="27" xfId="2" applyFont="1" applyFill="1" applyBorder="1" applyAlignment="1">
      <alignment horizontal="center" vertical="center" wrapText="1"/>
    </xf>
    <xf numFmtId="38" fontId="0" fillId="0" borderId="8" xfId="2" applyFont="1" applyBorder="1">
      <alignment vertical="center"/>
    </xf>
    <xf numFmtId="38" fontId="0" fillId="4" borderId="25" xfId="2" applyFont="1" applyFill="1" applyBorder="1">
      <alignment vertical="center"/>
    </xf>
    <xf numFmtId="38" fontId="0" fillId="0" borderId="25" xfId="2" applyFont="1" applyFill="1" applyBorder="1">
      <alignment vertical="center"/>
    </xf>
    <xf numFmtId="38" fontId="0" fillId="7" borderId="15" xfId="2" applyFont="1" applyFill="1" applyBorder="1">
      <alignment vertical="center"/>
    </xf>
    <xf numFmtId="0" fontId="3" fillId="0" borderId="26" xfId="0" applyFont="1" applyBorder="1">
      <alignment vertical="center"/>
    </xf>
    <xf numFmtId="38" fontId="0" fillId="0" borderId="36" xfId="2" applyFont="1" applyBorder="1">
      <alignment vertical="center"/>
    </xf>
    <xf numFmtId="176" fontId="0" fillId="4" borderId="28" xfId="1" applyNumberFormat="1" applyFont="1" applyFill="1" applyBorder="1">
      <alignment vertical="center"/>
    </xf>
    <xf numFmtId="176" fontId="0" fillId="0" borderId="36" xfId="1" applyNumberFormat="1" applyFont="1" applyBorder="1">
      <alignment vertical="center"/>
    </xf>
    <xf numFmtId="0" fontId="0" fillId="7" borderId="25" xfId="0" applyFill="1" applyBorder="1">
      <alignment vertical="center"/>
    </xf>
    <xf numFmtId="0" fontId="3" fillId="0" borderId="33" xfId="0" applyFont="1" applyBorder="1">
      <alignment vertical="center"/>
    </xf>
    <xf numFmtId="38" fontId="0" fillId="0" borderId="37" xfId="2" applyFont="1" applyBorder="1">
      <alignment vertical="center"/>
    </xf>
    <xf numFmtId="176" fontId="0" fillId="0" borderId="37" xfId="1" applyNumberFormat="1" applyFont="1" applyBorder="1">
      <alignment vertical="center"/>
    </xf>
    <xf numFmtId="0" fontId="3" fillId="0" borderId="31" xfId="0" applyFont="1" applyBorder="1">
      <alignment vertical="center"/>
    </xf>
    <xf numFmtId="38" fontId="0" fillId="4" borderId="31" xfId="2" applyFont="1" applyFill="1" applyBorder="1">
      <alignment vertical="center"/>
    </xf>
    <xf numFmtId="38" fontId="0" fillId="0" borderId="38" xfId="2" applyFont="1" applyBorder="1">
      <alignment vertical="center"/>
    </xf>
    <xf numFmtId="176" fontId="0" fillId="0" borderId="38" xfId="1" applyNumberFormat="1" applyFont="1" applyBorder="1">
      <alignment vertical="center"/>
    </xf>
    <xf numFmtId="0" fontId="0" fillId="7" borderId="28" xfId="0" applyFill="1" applyBorder="1">
      <alignment vertical="center"/>
    </xf>
    <xf numFmtId="176" fontId="0" fillId="7" borderId="30" xfId="1" applyNumberFormat="1" applyFont="1" applyFill="1" applyBorder="1">
      <alignment vertical="center"/>
    </xf>
    <xf numFmtId="38" fontId="0" fillId="7" borderId="28" xfId="2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0" fillId="0" borderId="0" xfId="1" applyNumberFormat="1" applyFont="1" applyFill="1" applyBorder="1">
      <alignment vertical="center"/>
    </xf>
    <xf numFmtId="38" fontId="3" fillId="0" borderId="0" xfId="2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176" fontId="9" fillId="0" borderId="4" xfId="1" applyNumberFormat="1" applyFont="1" applyBorder="1">
      <alignment vertical="center"/>
    </xf>
    <xf numFmtId="176" fontId="9" fillId="2" borderId="4" xfId="1" applyNumberFormat="1" applyFont="1" applyFill="1" applyBorder="1">
      <alignment vertical="center"/>
    </xf>
    <xf numFmtId="176" fontId="9" fillId="0" borderId="4" xfId="1" applyNumberFormat="1" applyFont="1" applyFill="1" applyBorder="1">
      <alignment vertical="center"/>
    </xf>
    <xf numFmtId="0" fontId="9" fillId="0" borderId="5" xfId="0" applyFont="1" applyBorder="1">
      <alignment vertical="center"/>
    </xf>
    <xf numFmtId="176" fontId="9" fillId="0" borderId="5" xfId="1" applyNumberFormat="1" applyFont="1" applyBorder="1">
      <alignment vertical="center"/>
    </xf>
    <xf numFmtId="176" fontId="9" fillId="2" borderId="5" xfId="1" applyNumberFormat="1" applyFont="1" applyFill="1" applyBorder="1">
      <alignment vertical="center"/>
    </xf>
    <xf numFmtId="176" fontId="9" fillId="0" borderId="5" xfId="1" applyNumberFormat="1" applyFont="1" applyFill="1" applyBorder="1">
      <alignment vertical="center"/>
    </xf>
    <xf numFmtId="176" fontId="9" fillId="0" borderId="1" xfId="1" applyNumberFormat="1" applyFont="1" applyBorder="1">
      <alignment vertical="center"/>
    </xf>
    <xf numFmtId="176" fontId="9" fillId="2" borderId="1" xfId="1" applyNumberFormat="1" applyFont="1" applyFill="1" applyBorder="1">
      <alignment vertical="center"/>
    </xf>
    <xf numFmtId="176" fontId="9" fillId="0" borderId="0" xfId="1" applyNumberFormat="1" applyFont="1">
      <alignment vertical="center"/>
    </xf>
    <xf numFmtId="176" fontId="9" fillId="0" borderId="1" xfId="1" applyNumberFormat="1" applyFont="1" applyFill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Fill="1">
      <alignment vertical="center"/>
    </xf>
    <xf numFmtId="176" fontId="12" fillId="0" borderId="0" xfId="1" applyNumberFormat="1" applyFont="1" applyFill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 applyBorder="1">
      <alignment vertical="center"/>
    </xf>
    <xf numFmtId="0" fontId="15" fillId="0" borderId="0" xfId="0" applyFont="1" applyAlignment="1">
      <alignment vertical="top" wrapText="1"/>
    </xf>
    <xf numFmtId="177" fontId="12" fillId="9" borderId="1" xfId="0" applyNumberFormat="1" applyFont="1" applyFill="1" applyBorder="1">
      <alignment vertical="center"/>
    </xf>
    <xf numFmtId="178" fontId="12" fillId="9" borderId="1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>
      <alignment vertical="center"/>
    </xf>
    <xf numFmtId="0" fontId="12" fillId="0" borderId="0" xfId="0" applyFont="1">
      <alignment vertical="center"/>
    </xf>
    <xf numFmtId="180" fontId="12" fillId="2" borderId="1" xfId="0" applyNumberFormat="1" applyFont="1" applyFill="1" applyBorder="1">
      <alignment vertical="center"/>
    </xf>
    <xf numFmtId="180" fontId="9" fillId="2" borderId="1" xfId="0" applyNumberFormat="1" applyFont="1" applyFill="1" applyBorder="1">
      <alignment vertical="center"/>
    </xf>
    <xf numFmtId="180" fontId="9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180" fontId="12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3" fontId="9" fillId="0" borderId="0" xfId="0" applyNumberFormat="1" applyFont="1">
      <alignment vertical="center"/>
    </xf>
    <xf numFmtId="0" fontId="10" fillId="0" borderId="0" xfId="0" applyFont="1">
      <alignment vertical="center"/>
    </xf>
    <xf numFmtId="38" fontId="9" fillId="0" borderId="0" xfId="2" applyFont="1">
      <alignment vertical="center"/>
    </xf>
    <xf numFmtId="0" fontId="10" fillId="0" borderId="0" xfId="0" applyFont="1" applyAlignment="1">
      <alignment vertical="center" wrapText="1"/>
    </xf>
    <xf numFmtId="38" fontId="19" fillId="0" borderId="47" xfId="2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3" xfId="0" applyFont="1" applyBorder="1">
      <alignment vertical="center"/>
    </xf>
    <xf numFmtId="38" fontId="19" fillId="0" borderId="53" xfId="2" applyFont="1" applyBorder="1">
      <alignment vertical="center"/>
    </xf>
    <xf numFmtId="176" fontId="19" fillId="0" borderId="31" xfId="1" applyNumberFormat="1" applyFont="1" applyBorder="1">
      <alignment vertical="center"/>
    </xf>
    <xf numFmtId="176" fontId="19" fillId="0" borderId="30" xfId="1" applyNumberFormat="1" applyFont="1" applyFill="1" applyBorder="1">
      <alignment vertical="center"/>
    </xf>
    <xf numFmtId="176" fontId="19" fillId="0" borderId="34" xfId="1" applyNumberFormat="1" applyFont="1" applyBorder="1">
      <alignment vertical="center"/>
    </xf>
    <xf numFmtId="176" fontId="19" fillId="0" borderId="55" xfId="1" applyNumberFormat="1" applyFont="1" applyBorder="1">
      <alignment vertical="center"/>
    </xf>
    <xf numFmtId="176" fontId="19" fillId="0" borderId="24" xfId="1" applyNumberFormat="1" applyFont="1" applyBorder="1">
      <alignment vertical="center"/>
    </xf>
    <xf numFmtId="176" fontId="19" fillId="0" borderId="25" xfId="1" applyNumberFormat="1" applyFont="1" applyFill="1" applyBorder="1">
      <alignment vertical="center"/>
    </xf>
    <xf numFmtId="176" fontId="19" fillId="0" borderId="33" xfId="1" applyNumberFormat="1" applyFont="1" applyBorder="1">
      <alignment vertical="center"/>
    </xf>
    <xf numFmtId="176" fontId="19" fillId="0" borderId="51" xfId="1" applyNumberFormat="1" applyFont="1" applyBorder="1">
      <alignment vertical="center"/>
    </xf>
    <xf numFmtId="38" fontId="10" fillId="0" borderId="0" xfId="2" applyFont="1">
      <alignment vertical="center"/>
    </xf>
    <xf numFmtId="0" fontId="10" fillId="0" borderId="35" xfId="0" applyFont="1" applyBorder="1">
      <alignment vertical="center"/>
    </xf>
    <xf numFmtId="0" fontId="10" fillId="0" borderId="60" xfId="0" applyFont="1" applyBorder="1">
      <alignment vertical="center"/>
    </xf>
    <xf numFmtId="176" fontId="19" fillId="2" borderId="31" xfId="1" applyNumberFormat="1" applyFont="1" applyFill="1" applyBorder="1">
      <alignment vertical="center"/>
    </xf>
    <xf numFmtId="176" fontId="19" fillId="2" borderId="24" xfId="1" applyNumberFormat="1" applyFont="1" applyFill="1" applyBorder="1">
      <alignment vertical="center"/>
    </xf>
    <xf numFmtId="38" fontId="19" fillId="2" borderId="46" xfId="2" applyFont="1" applyFill="1" applyBorder="1">
      <alignment vertical="center"/>
    </xf>
    <xf numFmtId="38" fontId="19" fillId="2" borderId="52" xfId="2" applyFont="1" applyFill="1" applyBorder="1">
      <alignment vertical="center"/>
    </xf>
    <xf numFmtId="176" fontId="19" fillId="2" borderId="54" xfId="1" applyNumberFormat="1" applyFont="1" applyFill="1" applyBorder="1">
      <alignment vertical="center"/>
    </xf>
    <xf numFmtId="176" fontId="19" fillId="2" borderId="50" xfId="1" applyNumberFormat="1" applyFont="1" applyFill="1" applyBorder="1">
      <alignment vertical="center"/>
    </xf>
    <xf numFmtId="176" fontId="19" fillId="2" borderId="38" xfId="1" applyNumberFormat="1" applyFont="1" applyFill="1" applyBorder="1">
      <alignment vertical="center"/>
    </xf>
    <xf numFmtId="176" fontId="19" fillId="2" borderId="37" xfId="1" applyNumberFormat="1" applyFont="1" applyFill="1" applyBorder="1">
      <alignment vertical="center"/>
    </xf>
    <xf numFmtId="0" fontId="10" fillId="9" borderId="1" xfId="0" applyFont="1" applyFill="1" applyBorder="1" applyAlignment="1">
      <alignment vertical="center" textRotation="255"/>
    </xf>
    <xf numFmtId="0" fontId="10" fillId="9" borderId="1" xfId="0" applyFont="1" applyFill="1" applyBorder="1" applyAlignment="1">
      <alignment vertical="center" textRotation="255" wrapText="1"/>
    </xf>
    <xf numFmtId="0" fontId="14" fillId="9" borderId="1" xfId="0" applyFont="1" applyFill="1" applyBorder="1" applyAlignment="1">
      <alignment vertical="center" textRotation="255" wrapText="1"/>
    </xf>
    <xf numFmtId="0" fontId="14" fillId="9" borderId="1" xfId="0" applyFont="1" applyFill="1" applyBorder="1" applyAlignment="1">
      <alignment vertical="top" textRotation="255" wrapText="1"/>
    </xf>
    <xf numFmtId="0" fontId="12" fillId="2" borderId="1" xfId="0" applyFont="1" applyFill="1" applyBorder="1" applyAlignment="1">
      <alignment horizontal="center" vertical="center"/>
    </xf>
    <xf numFmtId="182" fontId="12" fillId="0" borderId="1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3" fontId="12" fillId="0" borderId="1" xfId="0" applyNumberFormat="1" applyFont="1" applyFill="1" applyBorder="1">
      <alignment vertical="center"/>
    </xf>
    <xf numFmtId="183" fontId="12" fillId="0" borderId="0" xfId="0" applyNumberFormat="1" applyFont="1" applyFill="1">
      <alignment vertical="center"/>
    </xf>
    <xf numFmtId="0" fontId="12" fillId="9" borderId="0" xfId="0" applyFont="1" applyFill="1" applyAlignment="1">
      <alignment vertical="center" textRotation="255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vertical="top" textRotation="255" wrapText="1"/>
    </xf>
    <xf numFmtId="0" fontId="12" fillId="9" borderId="1" xfId="0" applyFont="1" applyFill="1" applyBorder="1">
      <alignment vertical="center"/>
    </xf>
    <xf numFmtId="0" fontId="14" fillId="9" borderId="0" xfId="0" applyFont="1" applyFill="1" applyBorder="1" applyAlignment="1">
      <alignment vertical="top" textRotation="255" wrapText="1"/>
    </xf>
    <xf numFmtId="178" fontId="12" fillId="9" borderId="0" xfId="0" applyNumberFormat="1" applyFont="1" applyFill="1" applyBorder="1">
      <alignment vertical="center"/>
    </xf>
    <xf numFmtId="178" fontId="21" fillId="9" borderId="0" xfId="0" applyNumberFormat="1" applyFont="1" applyFill="1" applyBorder="1">
      <alignment vertical="center"/>
    </xf>
    <xf numFmtId="0" fontId="12" fillId="0" borderId="0" xfId="0" applyFont="1" applyBorder="1">
      <alignment vertical="center"/>
    </xf>
    <xf numFmtId="177" fontId="12" fillId="2" borderId="1" xfId="0" applyNumberFormat="1" applyFont="1" applyFill="1" applyBorder="1">
      <alignment vertical="center"/>
    </xf>
    <xf numFmtId="178" fontId="12" fillId="2" borderId="1" xfId="0" applyNumberFormat="1" applyFont="1" applyFill="1" applyBorder="1">
      <alignment vertical="center"/>
    </xf>
    <xf numFmtId="177" fontId="12" fillId="0" borderId="1" xfId="0" applyNumberFormat="1" applyFont="1" applyBorder="1">
      <alignment vertical="center"/>
    </xf>
    <xf numFmtId="178" fontId="12" fillId="0" borderId="1" xfId="0" applyNumberFormat="1" applyFont="1" applyBorder="1">
      <alignment vertical="center"/>
    </xf>
    <xf numFmtId="184" fontId="12" fillId="2" borderId="1" xfId="0" applyNumberFormat="1" applyFont="1" applyFill="1" applyBorder="1">
      <alignment vertical="center"/>
    </xf>
    <xf numFmtId="184" fontId="9" fillId="2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1" applyNumberFormat="1" applyFont="1" applyFill="1" applyBorder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1" fillId="0" borderId="0" xfId="0" applyFont="1">
      <alignment vertical="center"/>
    </xf>
    <xf numFmtId="177" fontId="23" fillId="3" borderId="58" xfId="0" applyNumberFormat="1" applyFont="1" applyFill="1" applyBorder="1" applyAlignment="1">
      <alignment vertical="center"/>
    </xf>
    <xf numFmtId="177" fontId="9" fillId="0" borderId="1" xfId="0" applyNumberFormat="1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9" fillId="0" borderId="13" xfId="0" applyNumberFormat="1" applyFont="1" applyBorder="1">
      <alignment vertical="center"/>
    </xf>
    <xf numFmtId="177" fontId="9" fillId="2" borderId="13" xfId="1" applyNumberFormat="1" applyFont="1" applyFill="1" applyBorder="1">
      <alignment vertical="center"/>
    </xf>
    <xf numFmtId="177" fontId="9" fillId="0" borderId="56" xfId="0" applyNumberFormat="1" applyFont="1" applyBorder="1">
      <alignment vertical="center"/>
    </xf>
    <xf numFmtId="177" fontId="9" fillId="2" borderId="56" xfId="1" applyNumberFormat="1" applyFont="1" applyFill="1" applyBorder="1">
      <alignment vertical="center"/>
    </xf>
    <xf numFmtId="177" fontId="9" fillId="0" borderId="1" xfId="0" applyNumberFormat="1" applyFont="1" applyBorder="1">
      <alignment vertical="center"/>
    </xf>
    <xf numFmtId="177" fontId="9" fillId="2" borderId="1" xfId="1" applyNumberFormat="1" applyFont="1" applyFill="1" applyBorder="1">
      <alignment vertical="center"/>
    </xf>
    <xf numFmtId="177" fontId="9" fillId="0" borderId="0" xfId="0" applyNumberFormat="1" applyFont="1">
      <alignment vertical="center"/>
    </xf>
    <xf numFmtId="177" fontId="23" fillId="3" borderId="0" xfId="0" applyNumberFormat="1" applyFont="1" applyFill="1" applyBorder="1" applyAlignment="1">
      <alignment vertical="center"/>
    </xf>
    <xf numFmtId="0" fontId="9" fillId="0" borderId="59" xfId="0" applyFont="1" applyBorder="1">
      <alignment vertical="center"/>
    </xf>
    <xf numFmtId="176" fontId="12" fillId="0" borderId="4" xfId="1" applyNumberFormat="1" applyFont="1" applyBorder="1">
      <alignment vertical="center"/>
    </xf>
    <xf numFmtId="176" fontId="12" fillId="0" borderId="5" xfId="1" applyNumberFormat="1" applyFont="1" applyBorder="1">
      <alignment vertical="center"/>
    </xf>
    <xf numFmtId="176" fontId="12" fillId="0" borderId="1" xfId="1" applyNumberFormat="1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176" fontId="12" fillId="2" borderId="4" xfId="1" applyNumberFormat="1" applyFont="1" applyFill="1" applyBorder="1">
      <alignment vertical="center"/>
    </xf>
    <xf numFmtId="176" fontId="12" fillId="2" borderId="56" xfId="1" applyNumberFormat="1" applyFont="1" applyFill="1" applyBorder="1">
      <alignment vertical="center"/>
    </xf>
    <xf numFmtId="176" fontId="12" fillId="2" borderId="1" xfId="1" applyNumberFormat="1" applyFont="1" applyFill="1" applyBorder="1">
      <alignment vertical="center"/>
    </xf>
    <xf numFmtId="177" fontId="12" fillId="0" borderId="1" xfId="0" applyNumberFormat="1" applyFont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 wrapText="1"/>
    </xf>
    <xf numFmtId="177" fontId="12" fillId="0" borderId="13" xfId="0" applyNumberFormat="1" applyFont="1" applyBorder="1">
      <alignment vertical="center"/>
    </xf>
    <xf numFmtId="177" fontId="12" fillId="2" borderId="13" xfId="1" applyNumberFormat="1" applyFont="1" applyFill="1" applyBorder="1">
      <alignment vertical="center"/>
    </xf>
    <xf numFmtId="177" fontId="12" fillId="0" borderId="56" xfId="0" applyNumberFormat="1" applyFont="1" applyBorder="1">
      <alignment vertical="center"/>
    </xf>
    <xf numFmtId="177" fontId="12" fillId="2" borderId="56" xfId="1" applyNumberFormat="1" applyFont="1" applyFill="1" applyBorder="1">
      <alignment vertical="center"/>
    </xf>
    <xf numFmtId="177" fontId="12" fillId="2" borderId="1" xfId="1" applyNumberFormat="1" applyFont="1" applyFill="1" applyBorder="1">
      <alignment vertical="center"/>
    </xf>
    <xf numFmtId="177" fontId="12" fillId="0" borderId="0" xfId="0" applyNumberFormat="1" applyFont="1">
      <alignment vertical="center"/>
    </xf>
    <xf numFmtId="177" fontId="26" fillId="3" borderId="0" xfId="0" applyNumberFormat="1" applyFont="1" applyFill="1" applyBorder="1" applyAlignment="1">
      <alignment vertical="center"/>
    </xf>
    <xf numFmtId="177" fontId="12" fillId="0" borderId="57" xfId="0" applyNumberFormat="1" applyFont="1" applyBorder="1">
      <alignment vertical="center"/>
    </xf>
    <xf numFmtId="177" fontId="12" fillId="0" borderId="1" xfId="0" applyNumberFormat="1" applyFont="1" applyBorder="1" applyAlignment="1">
      <alignment horizontal="center" vertical="center" wrapText="1"/>
    </xf>
    <xf numFmtId="177" fontId="12" fillId="0" borderId="13" xfId="1" applyNumberFormat="1" applyFont="1" applyFill="1" applyBorder="1">
      <alignment vertical="center"/>
    </xf>
    <xf numFmtId="177" fontId="12" fillId="0" borderId="56" xfId="1" applyNumberFormat="1" applyFont="1" applyFill="1" applyBorder="1">
      <alignment vertical="center"/>
    </xf>
    <xf numFmtId="177" fontId="12" fillId="0" borderId="1" xfId="1" applyNumberFormat="1" applyFont="1" applyFill="1" applyBorder="1">
      <alignment vertical="center"/>
    </xf>
    <xf numFmtId="176" fontId="19" fillId="2" borderId="48" xfId="1" applyNumberFormat="1" applyFont="1" applyFill="1" applyBorder="1">
      <alignment vertical="center"/>
    </xf>
    <xf numFmtId="176" fontId="19" fillId="0" borderId="49" xfId="1" applyNumberFormat="1" applyFont="1" applyBorder="1">
      <alignment vertical="center"/>
    </xf>
    <xf numFmtId="38" fontId="19" fillId="2" borderId="20" xfId="2" applyFont="1" applyFill="1" applyBorder="1">
      <alignment vertical="center"/>
    </xf>
    <xf numFmtId="38" fontId="19" fillId="0" borderId="20" xfId="2" applyFont="1" applyBorder="1">
      <alignment vertical="center"/>
    </xf>
    <xf numFmtId="38" fontId="19" fillId="0" borderId="20" xfId="2" applyFont="1" applyFill="1" applyBorder="1">
      <alignment vertical="center"/>
    </xf>
    <xf numFmtId="38" fontId="19" fillId="0" borderId="29" xfId="2" applyFont="1" applyBorder="1">
      <alignment vertical="center"/>
    </xf>
    <xf numFmtId="38" fontId="19" fillId="2" borderId="40" xfId="2" applyFont="1" applyFill="1" applyBorder="1">
      <alignment vertical="center"/>
    </xf>
    <xf numFmtId="38" fontId="19" fillId="2" borderId="22" xfId="2" applyFont="1" applyFill="1" applyBorder="1">
      <alignment vertical="center"/>
    </xf>
    <xf numFmtId="38" fontId="19" fillId="0" borderId="22" xfId="2" applyFont="1" applyBorder="1">
      <alignment vertical="center"/>
    </xf>
    <xf numFmtId="176" fontId="19" fillId="2" borderId="22" xfId="1" applyNumberFormat="1" applyFont="1" applyFill="1" applyBorder="1">
      <alignment vertical="center"/>
    </xf>
    <xf numFmtId="176" fontId="19" fillId="0" borderId="22" xfId="1" applyNumberFormat="1" applyFont="1" applyBorder="1">
      <alignment vertical="center"/>
    </xf>
    <xf numFmtId="176" fontId="19" fillId="0" borderId="20" xfId="1" applyNumberFormat="1" applyFont="1" applyFill="1" applyBorder="1">
      <alignment vertical="center"/>
    </xf>
    <xf numFmtId="176" fontId="19" fillId="0" borderId="32" xfId="1" applyNumberFormat="1" applyFont="1" applyBorder="1">
      <alignment vertical="center"/>
    </xf>
    <xf numFmtId="176" fontId="19" fillId="2" borderId="41" xfId="1" applyNumberFormat="1" applyFont="1" applyFill="1" applyBorder="1">
      <alignment vertical="center"/>
    </xf>
    <xf numFmtId="38" fontId="19" fillId="2" borderId="24" xfId="2" applyFont="1" applyFill="1" applyBorder="1">
      <alignment vertical="center"/>
    </xf>
    <xf numFmtId="38" fontId="19" fillId="0" borderId="24" xfId="2" applyFont="1" applyBorder="1">
      <alignment vertical="center"/>
    </xf>
    <xf numFmtId="0" fontId="19" fillId="2" borderId="28" xfId="2" applyNumberFormat="1" applyFont="1" applyFill="1" applyBorder="1">
      <alignment vertical="center"/>
    </xf>
    <xf numFmtId="0" fontId="19" fillId="0" borderId="28" xfId="2" applyNumberFormat="1" applyFont="1" applyBorder="1">
      <alignment vertical="center"/>
    </xf>
    <xf numFmtId="38" fontId="19" fillId="0" borderId="28" xfId="2" applyFont="1" applyBorder="1">
      <alignment vertical="center"/>
    </xf>
    <xf numFmtId="38" fontId="19" fillId="2" borderId="28" xfId="2" applyFont="1" applyFill="1" applyBorder="1">
      <alignment vertical="center"/>
    </xf>
    <xf numFmtId="38" fontId="19" fillId="0" borderId="28" xfId="2" applyFont="1" applyFill="1" applyBorder="1">
      <alignment vertical="center"/>
    </xf>
    <xf numFmtId="38" fontId="19" fillId="0" borderId="26" xfId="2" applyFont="1" applyBorder="1">
      <alignment vertical="center"/>
    </xf>
    <xf numFmtId="38" fontId="19" fillId="2" borderId="36" xfId="2" applyFont="1" applyFill="1" applyBorder="1">
      <alignment vertical="center"/>
    </xf>
    <xf numFmtId="38" fontId="19" fillId="2" borderId="27" xfId="2" applyFont="1" applyFill="1" applyBorder="1">
      <alignment vertical="center"/>
    </xf>
    <xf numFmtId="38" fontId="19" fillId="0" borderId="27" xfId="2" applyFont="1" applyBorder="1">
      <alignment vertical="center"/>
    </xf>
    <xf numFmtId="176" fontId="12" fillId="0" borderId="5" xfId="1" applyNumberFormat="1" applyFont="1" applyFill="1" applyBorder="1">
      <alignment vertical="center"/>
    </xf>
    <xf numFmtId="0" fontId="27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9" fillId="0" borderId="0" xfId="0" applyFont="1">
      <alignment vertical="center"/>
    </xf>
    <xf numFmtId="38" fontId="11" fillId="2" borderId="15" xfId="2" applyFont="1" applyFill="1" applyBorder="1" applyAlignment="1">
      <alignment horizontal="center" vertical="center" wrapText="1"/>
    </xf>
    <xf numFmtId="38" fontId="11" fillId="0" borderId="15" xfId="2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8" fontId="11" fillId="0" borderId="15" xfId="2" applyFont="1" applyFill="1" applyBorder="1" applyAlignment="1">
      <alignment horizontal="center" vertical="center" wrapText="1"/>
    </xf>
    <xf numFmtId="38" fontId="11" fillId="0" borderId="10" xfId="2" applyFont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38" fontId="11" fillId="0" borderId="45" xfId="2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177" fontId="9" fillId="5" borderId="2" xfId="0" applyNumberFormat="1" applyFont="1" applyFill="1" applyBorder="1" applyAlignment="1">
      <alignment horizontal="center" vertical="center"/>
    </xf>
    <xf numFmtId="177" fontId="9" fillId="5" borderId="6" xfId="0" applyNumberFormat="1" applyFont="1" applyFill="1" applyBorder="1" applyAlignment="1">
      <alignment horizontal="center" vertical="center"/>
    </xf>
    <xf numFmtId="177" fontId="9" fillId="5" borderId="3" xfId="0" applyNumberFormat="1" applyFont="1" applyFill="1" applyBorder="1" applyAlignment="1">
      <alignment horizontal="center" vertical="center"/>
    </xf>
    <xf numFmtId="177" fontId="12" fillId="5" borderId="2" xfId="0" applyNumberFormat="1" applyFont="1" applyFill="1" applyBorder="1" applyAlignment="1">
      <alignment horizontal="center" vertical="center"/>
    </xf>
    <xf numFmtId="177" fontId="12" fillId="5" borderId="6" xfId="0" applyNumberFormat="1" applyFont="1" applyFill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7" fontId="9" fillId="5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8" fontId="10" fillId="0" borderId="10" xfId="2" applyFont="1" applyBorder="1" applyAlignment="1">
      <alignment horizontal="center" vertical="center" wrapText="1"/>
    </xf>
    <xf numFmtId="38" fontId="10" fillId="0" borderId="12" xfId="2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8" fontId="3" fillId="0" borderId="10" xfId="2" applyFont="1" applyBorder="1" applyAlignment="1">
      <alignment horizontal="center" vertical="center" wrapText="1"/>
    </xf>
    <xf numFmtId="38" fontId="3" fillId="0" borderId="12" xfId="2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2</xdr:row>
      <xdr:rowOff>68580</xdr:rowOff>
    </xdr:from>
    <xdr:to>
      <xdr:col>12</xdr:col>
      <xdr:colOff>144780</xdr:colOff>
      <xdr:row>25</xdr:row>
      <xdr:rowOff>205740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9D99DD6-9DE2-4879-BFEF-6C5E5C90416A}"/>
            </a:ext>
          </a:extLst>
        </xdr:cNvPr>
        <xdr:cNvSpPr/>
      </xdr:nvSpPr>
      <xdr:spPr>
        <a:xfrm>
          <a:off x="1805940" y="632460"/>
          <a:ext cx="6385560" cy="5394960"/>
        </a:xfrm>
        <a:prstGeom prst="roundRect">
          <a:avLst>
            <a:gd name="adj" fmla="val 5041"/>
          </a:avLst>
        </a:prstGeom>
        <a:solidFill>
          <a:schemeClr val="accent3">
            <a:lumMod val="40000"/>
            <a:lumOff val="60000"/>
            <a:alpha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30480</xdr:colOff>
      <xdr:row>4</xdr:row>
      <xdr:rowOff>22860</xdr:rowOff>
    </xdr:from>
    <xdr:to>
      <xdr:col>9</xdr:col>
      <xdr:colOff>365760</xdr:colOff>
      <xdr:row>24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467400C-FBA4-4172-A3C0-4A79FD2F50EF}"/>
            </a:ext>
          </a:extLst>
        </xdr:cNvPr>
        <xdr:cNvSpPr/>
      </xdr:nvSpPr>
      <xdr:spPr>
        <a:xfrm>
          <a:off x="2042160" y="1043940"/>
          <a:ext cx="4358640" cy="4739640"/>
        </a:xfrm>
        <a:prstGeom prst="roundRect">
          <a:avLst>
            <a:gd name="adj" fmla="val 5208"/>
          </a:avLst>
        </a:prstGeom>
        <a:solidFill>
          <a:srgbClr val="FF3737">
            <a:alpha val="54902"/>
          </a:srgb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22860</xdr:colOff>
      <xdr:row>10</xdr:row>
      <xdr:rowOff>7620</xdr:rowOff>
    </xdr:from>
    <xdr:to>
      <xdr:col>11</xdr:col>
      <xdr:colOff>579120</xdr:colOff>
      <xdr:row>24</xdr:row>
      <xdr:rowOff>182880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43FB527-EA9F-459A-A9C5-3A5AFD8BD16F}"/>
            </a:ext>
          </a:extLst>
        </xdr:cNvPr>
        <xdr:cNvSpPr/>
      </xdr:nvSpPr>
      <xdr:spPr>
        <a:xfrm>
          <a:off x="2039919" y="2437055"/>
          <a:ext cx="5935083" cy="3438413"/>
        </a:xfrm>
        <a:prstGeom prst="roundRect">
          <a:avLst>
            <a:gd name="adj" fmla="val 6975"/>
          </a:avLst>
        </a:prstGeom>
        <a:solidFill>
          <a:srgbClr val="5959F9">
            <a:alpha val="54902"/>
          </a:srgb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8</xdr:col>
      <xdr:colOff>198120</xdr:colOff>
      <xdr:row>8</xdr:row>
      <xdr:rowOff>83820</xdr:rowOff>
    </xdr:from>
    <xdr:to>
      <xdr:col>10</xdr:col>
      <xdr:colOff>106680</xdr:colOff>
      <xdr:row>13</xdr:row>
      <xdr:rowOff>114300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5C6BCAA-5E10-45F6-B7FA-3CF568EFDF08}"/>
            </a:ext>
          </a:extLst>
        </xdr:cNvPr>
        <xdr:cNvSpPr/>
      </xdr:nvSpPr>
      <xdr:spPr>
        <a:xfrm>
          <a:off x="5582920" y="2039620"/>
          <a:ext cx="1254760" cy="1109980"/>
        </a:xfrm>
        <a:prstGeom prst="roundRect">
          <a:avLst>
            <a:gd name="adj" fmla="val 3138"/>
          </a:avLst>
        </a:prstGeom>
        <a:solidFill>
          <a:srgbClr val="8EC26A">
            <a:alpha val="54902"/>
          </a:srgb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464820</xdr:colOff>
      <xdr:row>4</xdr:row>
      <xdr:rowOff>110067</xdr:rowOff>
    </xdr:from>
    <xdr:to>
      <xdr:col>6</xdr:col>
      <xdr:colOff>487680</xdr:colOff>
      <xdr:row>10</xdr:row>
      <xdr:rowOff>88900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D40A04-43D0-4B25-995D-6507C97C57AC}"/>
            </a:ext>
          </a:extLst>
        </xdr:cNvPr>
        <xdr:cNvSpPr/>
      </xdr:nvSpPr>
      <xdr:spPr>
        <a:xfrm>
          <a:off x="2484120" y="1202267"/>
          <a:ext cx="2042160" cy="12742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　のみ</a:t>
          </a:r>
          <a:endParaRPr kumimoji="1" lang="en-US" altLang="ja-JP" sz="18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12.4%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(12.3%)</a:t>
          </a:r>
          <a:endParaRPr kumimoji="1" lang="ja-JP" altLang="en-US" sz="18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152400</xdr:colOff>
      <xdr:row>17</xdr:row>
      <xdr:rowOff>101601</xdr:rowOff>
    </xdr:from>
    <xdr:to>
      <xdr:col>12</xdr:col>
      <xdr:colOff>175260</xdr:colOff>
      <xdr:row>24</xdr:row>
      <xdr:rowOff>30481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2C8215-4E11-4E5F-9281-612CAABAF831}"/>
            </a:ext>
          </a:extLst>
        </xdr:cNvPr>
        <xdr:cNvSpPr/>
      </xdr:nvSpPr>
      <xdr:spPr>
        <a:xfrm>
          <a:off x="6210300" y="4000501"/>
          <a:ext cx="2042160" cy="14401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みる　のみ</a:t>
          </a:r>
          <a:endParaRPr kumimoji="1" lang="en-US" altLang="ja-JP" sz="18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24.6%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(24.7%)</a:t>
          </a:r>
        </a:p>
      </xdr:txBody>
    </xdr:sp>
    <xdr:clientData/>
  </xdr:twoCellAnchor>
  <xdr:twoCellAnchor>
    <xdr:from>
      <xdr:col>5</xdr:col>
      <xdr:colOff>108473</xdr:colOff>
      <xdr:row>13</xdr:row>
      <xdr:rowOff>85761</xdr:rowOff>
    </xdr:from>
    <xdr:to>
      <xdr:col>8</xdr:col>
      <xdr:colOff>131333</xdr:colOff>
      <xdr:row>20</xdr:row>
      <xdr:rowOff>59764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6AFFDA9-5477-4EC9-9CDA-626761AD452B}"/>
            </a:ext>
          </a:extLst>
        </xdr:cNvPr>
        <xdr:cNvSpPr/>
      </xdr:nvSpPr>
      <xdr:spPr>
        <a:xfrm>
          <a:off x="3470238" y="3223408"/>
          <a:ext cx="2039919" cy="1542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20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する・みる</a:t>
          </a:r>
          <a:endParaRPr kumimoji="1" lang="en-US" altLang="ja-JP" sz="20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20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30.7%</a:t>
          </a:r>
        </a:p>
        <a:p>
          <a:pPr algn="ctr"/>
          <a:r>
            <a:rPr kumimoji="1" lang="en-US" altLang="ja-JP" sz="20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(32.5%)</a:t>
          </a:r>
        </a:p>
      </xdr:txBody>
    </xdr:sp>
    <xdr:clientData/>
  </xdr:twoCellAnchor>
  <xdr:twoCellAnchor>
    <xdr:from>
      <xdr:col>9</xdr:col>
      <xdr:colOff>23859</xdr:colOff>
      <xdr:row>3</xdr:row>
      <xdr:rowOff>63750</xdr:rowOff>
    </xdr:from>
    <xdr:to>
      <xdr:col>12</xdr:col>
      <xdr:colOff>475231</xdr:colOff>
      <xdr:row>7</xdr:row>
      <xdr:rowOff>203202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8C56F1F-A61A-4905-A041-8C224B0147CB}"/>
            </a:ext>
          </a:extLst>
        </xdr:cNvPr>
        <xdr:cNvSpPr/>
      </xdr:nvSpPr>
      <xdr:spPr>
        <a:xfrm>
          <a:off x="6075035" y="960221"/>
          <a:ext cx="2468431" cy="10359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6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スポーツに参画した</a:t>
          </a:r>
          <a:endParaRPr kumimoji="1" lang="en-US" altLang="ja-JP" sz="16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76.2%</a:t>
          </a: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(78.6%)</a:t>
          </a:r>
          <a:endParaRPr kumimoji="1" lang="ja-JP" altLang="en-US" sz="16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8</xdr:col>
      <xdr:colOff>255294</xdr:colOff>
      <xdr:row>7</xdr:row>
      <xdr:rowOff>132478</xdr:rowOff>
    </xdr:from>
    <xdr:to>
      <xdr:col>10</xdr:col>
      <xdr:colOff>63001</xdr:colOff>
      <xdr:row>14</xdr:row>
      <xdr:rowOff>88900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364A684-3B08-4528-95BC-91072486050B}"/>
            </a:ext>
          </a:extLst>
        </xdr:cNvPr>
        <xdr:cNvSpPr/>
      </xdr:nvSpPr>
      <xdr:spPr>
        <a:xfrm>
          <a:off x="5640094" y="1872378"/>
          <a:ext cx="1153907" cy="14677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2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する・みる・</a:t>
          </a:r>
          <a:endParaRPr kumimoji="1" lang="en-US" altLang="ja-JP" sz="12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ささえる</a:t>
          </a:r>
          <a:endParaRPr kumimoji="1" lang="en-US" altLang="ja-JP" sz="12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6.1%</a:t>
          </a: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(6.3%)</a:t>
          </a:r>
          <a:endParaRPr kumimoji="1" lang="ja-JP" altLang="en-US" sz="16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618490</xdr:colOff>
      <xdr:row>3</xdr:row>
      <xdr:rowOff>173565</xdr:rowOff>
    </xdr:from>
    <xdr:to>
      <xdr:col>14</xdr:col>
      <xdr:colOff>610870</xdr:colOff>
      <xdr:row>7</xdr:row>
      <xdr:rowOff>139698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D6EAA38E-647E-45DF-9D42-A37D04158972}"/>
            </a:ext>
          </a:extLst>
        </xdr:cNvPr>
        <xdr:cNvSpPr/>
      </xdr:nvSpPr>
      <xdr:spPr>
        <a:xfrm>
          <a:off x="8695690" y="1049865"/>
          <a:ext cx="1338580" cy="829733"/>
        </a:xfrm>
        <a:prstGeom prst="borderCallout2">
          <a:avLst>
            <a:gd name="adj1" fmla="val 25599"/>
            <a:gd name="adj2" fmla="val -8904"/>
            <a:gd name="adj3" fmla="val 27130"/>
            <a:gd name="adj4" fmla="val -218144"/>
            <a:gd name="adj5" fmla="val 146115"/>
            <a:gd name="adj6" fmla="val -217287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する・ささえる</a:t>
          </a:r>
          <a:endParaRPr kumimoji="1" lang="en-US" altLang="ja-JP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0.6%</a:t>
          </a:r>
        </a:p>
        <a:p>
          <a:pPr algn="ctr"/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(0.5%)</a:t>
          </a:r>
          <a:endParaRPr kumimoji="1" lang="ja-JP" altLang="en-US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622300</xdr:colOff>
      <xdr:row>8</xdr:row>
      <xdr:rowOff>5079</xdr:rowOff>
    </xdr:from>
    <xdr:to>
      <xdr:col>14</xdr:col>
      <xdr:colOff>607060</xdr:colOff>
      <xdr:row>11</xdr:row>
      <xdr:rowOff>141127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3CC7231E-3EDB-4AEF-8ADE-08263E436FF1}"/>
            </a:ext>
          </a:extLst>
        </xdr:cNvPr>
        <xdr:cNvSpPr/>
      </xdr:nvSpPr>
      <xdr:spPr>
        <a:xfrm>
          <a:off x="8699500" y="1960879"/>
          <a:ext cx="1330960" cy="783748"/>
        </a:xfrm>
        <a:prstGeom prst="borderCallout1">
          <a:avLst>
            <a:gd name="adj1" fmla="val 27724"/>
            <a:gd name="adj2" fmla="val -7734"/>
            <a:gd name="adj3" fmla="val 26527"/>
            <a:gd name="adj4" fmla="val -152692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ささえる　のみ</a:t>
          </a:r>
          <a:endParaRPr kumimoji="1" lang="en-US" altLang="ja-JP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0.1%</a:t>
          </a: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(0.3%)</a:t>
          </a:r>
          <a:endParaRPr kumimoji="1" lang="ja-JP" altLang="en-US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626110</xdr:colOff>
      <xdr:row>11</xdr:row>
      <xdr:rowOff>186268</xdr:rowOff>
    </xdr:from>
    <xdr:to>
      <xdr:col>14</xdr:col>
      <xdr:colOff>603250</xdr:colOff>
      <xdr:row>15</xdr:row>
      <xdr:rowOff>152399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A0F62836-F8FD-487D-A5C9-93382592291D}"/>
            </a:ext>
          </a:extLst>
        </xdr:cNvPr>
        <xdr:cNvSpPr/>
      </xdr:nvSpPr>
      <xdr:spPr>
        <a:xfrm>
          <a:off x="8703310" y="2789768"/>
          <a:ext cx="1323340" cy="829731"/>
        </a:xfrm>
        <a:prstGeom prst="borderCallout1">
          <a:avLst>
            <a:gd name="adj1" fmla="val 18633"/>
            <a:gd name="adj2" fmla="val -7734"/>
            <a:gd name="adj3" fmla="val 18328"/>
            <a:gd name="adj4" fmla="val -154838"/>
          </a:avLst>
        </a:prstGeom>
        <a:solidFill>
          <a:srgbClr val="72AAD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みる・ささえる</a:t>
          </a:r>
          <a:endParaRPr kumimoji="1" lang="en-US" altLang="ja-JP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1.4%</a:t>
          </a: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(1.9%)</a:t>
          </a:r>
          <a:endParaRPr kumimoji="1" lang="ja-JP" altLang="en-US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 editAs="oneCell">
    <xdr:from>
      <xdr:col>0</xdr:col>
      <xdr:colOff>396240</xdr:colOff>
      <xdr:row>2</xdr:row>
      <xdr:rowOff>109220</xdr:rowOff>
    </xdr:from>
    <xdr:to>
      <xdr:col>1</xdr:col>
      <xdr:colOff>642620</xdr:colOff>
      <xdr:row>6</xdr:row>
      <xdr:rowOff>160020</xdr:rowOff>
    </xdr:to>
    <xdr:pic>
      <xdr:nvPicPr>
        <xdr:cNvPr id="14" name="グラフィックス 13" descr="ボディ ビルダー 単色塗りつぶし">
          <a:extLst>
            <a:ext uri="{FF2B5EF4-FFF2-40B4-BE49-F238E27FC236}">
              <a16:creationId xmlns:a16="http://schemas.microsoft.com/office/drawing/2014/main" id="{BA6235AA-F50A-480B-A60C-61B72314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6240" y="769620"/>
          <a:ext cx="919480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91440</xdr:rowOff>
    </xdr:from>
    <xdr:to>
      <xdr:col>2</xdr:col>
      <xdr:colOff>373380</xdr:colOff>
      <xdr:row>9</xdr:row>
      <xdr:rowOff>197224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DA9EA64-F456-4A5B-AD09-42088307A1AD}"/>
            </a:ext>
          </a:extLst>
        </xdr:cNvPr>
        <xdr:cNvSpPr/>
      </xdr:nvSpPr>
      <xdr:spPr>
        <a:xfrm>
          <a:off x="0" y="539675"/>
          <a:ext cx="1718086" cy="1898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50%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(51.7%)</a:t>
          </a:r>
        </a:p>
      </xdr:txBody>
    </xdr:sp>
    <xdr:clientData/>
  </xdr:twoCellAnchor>
  <xdr:twoCellAnchor editAs="oneCell">
    <xdr:from>
      <xdr:col>0</xdr:col>
      <xdr:colOff>381000</xdr:colOff>
      <xdr:row>19</xdr:row>
      <xdr:rowOff>137160</xdr:rowOff>
    </xdr:from>
    <xdr:to>
      <xdr:col>1</xdr:col>
      <xdr:colOff>624840</xdr:colOff>
      <xdr:row>23</xdr:row>
      <xdr:rowOff>187960</xdr:rowOff>
    </xdr:to>
    <xdr:pic>
      <xdr:nvPicPr>
        <xdr:cNvPr id="16" name="グラフィックス 15" descr="眼鏡 単色塗りつぶし">
          <a:extLst>
            <a:ext uri="{FF2B5EF4-FFF2-40B4-BE49-F238E27FC236}">
              <a16:creationId xmlns:a16="http://schemas.microsoft.com/office/drawing/2014/main" id="{145FC3DF-6243-4755-81FF-6565E182F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0" y="4467860"/>
          <a:ext cx="916940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76200</xdr:rowOff>
    </xdr:from>
    <xdr:to>
      <xdr:col>2</xdr:col>
      <xdr:colOff>373380</xdr:colOff>
      <xdr:row>27</xdr:row>
      <xdr:rowOff>88900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706E615-5F3A-4110-A85A-913DF9AAECBD}"/>
            </a:ext>
          </a:extLst>
        </xdr:cNvPr>
        <xdr:cNvSpPr/>
      </xdr:nvSpPr>
      <xdr:spPr>
        <a:xfrm>
          <a:off x="0" y="4191000"/>
          <a:ext cx="1719580" cy="1955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みる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62.8%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(65.4%)</a:t>
          </a:r>
        </a:p>
      </xdr:txBody>
    </xdr:sp>
    <xdr:clientData/>
  </xdr:twoCellAnchor>
  <xdr:twoCellAnchor>
    <xdr:from>
      <xdr:col>12</xdr:col>
      <xdr:colOff>411480</xdr:colOff>
      <xdr:row>17</xdr:row>
      <xdr:rowOff>167640</xdr:rowOff>
    </xdr:from>
    <xdr:to>
      <xdr:col>15</xdr:col>
      <xdr:colOff>114300</xdr:colOff>
      <xdr:row>26</xdr:row>
      <xdr:rowOff>38100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E6B8A5C-7BEA-40D1-9E71-2F0883CA7A01}"/>
            </a:ext>
          </a:extLst>
        </xdr:cNvPr>
        <xdr:cNvSpPr/>
      </xdr:nvSpPr>
      <xdr:spPr>
        <a:xfrm>
          <a:off x="8458200" y="4160520"/>
          <a:ext cx="1714500" cy="192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ささえる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8.2%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(9.0%)</a:t>
          </a:r>
        </a:p>
      </xdr:txBody>
    </xdr:sp>
    <xdr:clientData/>
  </xdr:twoCellAnchor>
  <xdr:twoCellAnchor>
    <xdr:from>
      <xdr:col>5</xdr:col>
      <xdr:colOff>287869</xdr:colOff>
      <xdr:row>26</xdr:row>
      <xdr:rowOff>8466</xdr:rowOff>
    </xdr:from>
    <xdr:to>
      <xdr:col>9</xdr:col>
      <xdr:colOff>330201</xdr:colOff>
      <xdr:row>31</xdr:row>
      <xdr:rowOff>125506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6E792D6-4E9F-4944-B912-9F6F56949076}"/>
            </a:ext>
          </a:extLst>
        </xdr:cNvPr>
        <xdr:cNvSpPr/>
      </xdr:nvSpPr>
      <xdr:spPr>
        <a:xfrm>
          <a:off x="3649634" y="6059642"/>
          <a:ext cx="2731743" cy="12376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スポーツに参画しなかった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23.8%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(21.4%)</a:t>
          </a:r>
          <a:endParaRPr kumimoji="1" lang="ja-JP" altLang="en-US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 editAs="oneCell">
    <xdr:from>
      <xdr:col>13</xdr:col>
      <xdr:colOff>245534</xdr:colOff>
      <xdr:row>19</xdr:row>
      <xdr:rowOff>25399</xdr:rowOff>
    </xdr:from>
    <xdr:to>
      <xdr:col>14</xdr:col>
      <xdr:colOff>491068</xdr:colOff>
      <xdr:row>23</xdr:row>
      <xdr:rowOff>76199</xdr:rowOff>
    </xdr:to>
    <xdr:pic>
      <xdr:nvPicPr>
        <xdr:cNvPr id="20" name="グラフィックス 19" descr="マーケティング 単色塗りつぶし">
          <a:extLst>
            <a:ext uri="{FF2B5EF4-FFF2-40B4-BE49-F238E27FC236}">
              <a16:creationId xmlns:a16="http://schemas.microsoft.com/office/drawing/2014/main" id="{5D25BA73-A5C7-4C25-A55E-15C43AEDF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962814" y="4475479"/>
          <a:ext cx="916094" cy="914400"/>
        </a:xfrm>
        <a:prstGeom prst="rect">
          <a:avLst/>
        </a:prstGeom>
      </xdr:spPr>
    </xdr:pic>
    <xdr:clientData/>
  </xdr:twoCellAnchor>
  <xdr:oneCellAnchor>
    <xdr:from>
      <xdr:col>0</xdr:col>
      <xdr:colOff>258233</xdr:colOff>
      <xdr:row>9</xdr:row>
      <xdr:rowOff>165099</xdr:rowOff>
    </xdr:from>
    <xdr:ext cx="1196290" cy="32367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63BDE22-6426-40D3-A2BB-A6B3F2228274}"/>
            </a:ext>
          </a:extLst>
        </xdr:cNvPr>
        <xdr:cNvSpPr txBox="1"/>
      </xdr:nvSpPr>
      <xdr:spPr>
        <a:xfrm>
          <a:off x="258233" y="2336799"/>
          <a:ext cx="1196290" cy="323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週に１日以上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317863</xdr:rowOff>
    </xdr:from>
    <xdr:to>
      <xdr:col>10</xdr:col>
      <xdr:colOff>22860</xdr:colOff>
      <xdr:row>21</xdr:row>
      <xdr:rowOff>289560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464156D-9C4E-4554-AD3F-448B2D1A07B6}"/>
            </a:ext>
          </a:extLst>
        </xdr:cNvPr>
        <xdr:cNvSpPr/>
      </xdr:nvSpPr>
      <xdr:spPr>
        <a:xfrm>
          <a:off x="7574280" y="797923"/>
          <a:ext cx="1790700" cy="615151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</xdr:colOff>
      <xdr:row>27</xdr:row>
      <xdr:rowOff>228599</xdr:rowOff>
    </xdr:from>
    <xdr:to>
      <xdr:col>10</xdr:col>
      <xdr:colOff>0</xdr:colOff>
      <xdr:row>50</xdr:row>
      <xdr:rowOff>22860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7DFE0D0-107D-45F9-AD09-6F8A9D4830BA}"/>
            </a:ext>
          </a:extLst>
        </xdr:cNvPr>
        <xdr:cNvSpPr/>
      </xdr:nvSpPr>
      <xdr:spPr>
        <a:xfrm>
          <a:off x="7581900" y="7856219"/>
          <a:ext cx="1760220" cy="588264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AD3D-A8AA-421F-8969-644F4E0E56A0}">
  <dimension ref="B1:P27"/>
  <sheetViews>
    <sheetView workbookViewId="0">
      <selection activeCell="C5" sqref="C5"/>
    </sheetView>
  </sheetViews>
  <sheetFormatPr defaultRowHeight="18" x14ac:dyDescent="0.45"/>
  <cols>
    <col min="2" max="2" width="12.59765625" bestFit="1" customWidth="1"/>
    <col min="3" max="8" width="11.3984375" customWidth="1"/>
    <col min="10" max="16" width="11.3984375" customWidth="1"/>
  </cols>
  <sheetData>
    <row r="1" spans="2:16" ht="35.4" customHeight="1" x14ac:dyDescent="0.45">
      <c r="B1" s="12" t="s">
        <v>68</v>
      </c>
      <c r="H1" s="11"/>
      <c r="J1" s="12" t="s">
        <v>69</v>
      </c>
      <c r="P1" s="11"/>
    </row>
    <row r="2" spans="2:16" ht="30.6" customHeight="1" x14ac:dyDescent="0.45">
      <c r="B2" s="2"/>
      <c r="C2" s="271" t="s">
        <v>0</v>
      </c>
      <c r="D2" s="272"/>
      <c r="E2" s="271" t="s">
        <v>1</v>
      </c>
      <c r="F2" s="272"/>
      <c r="G2" s="271" t="s">
        <v>2</v>
      </c>
      <c r="H2" s="272"/>
      <c r="J2" s="2"/>
      <c r="K2" s="271" t="s">
        <v>0</v>
      </c>
      <c r="L2" s="272"/>
      <c r="M2" s="271" t="s">
        <v>1</v>
      </c>
      <c r="N2" s="272"/>
      <c r="O2" s="271" t="s">
        <v>2</v>
      </c>
      <c r="P2" s="272"/>
    </row>
    <row r="3" spans="2:16" ht="30.6" customHeight="1" x14ac:dyDescent="0.45">
      <c r="B3" s="1"/>
      <c r="C3" s="14" t="s">
        <v>3</v>
      </c>
      <c r="D3" s="16" t="s">
        <v>4</v>
      </c>
      <c r="E3" s="14" t="s">
        <v>3</v>
      </c>
      <c r="F3" s="16" t="s">
        <v>4</v>
      </c>
      <c r="G3" s="14" t="s">
        <v>3</v>
      </c>
      <c r="H3" s="16" t="s">
        <v>4</v>
      </c>
      <c r="J3" s="1"/>
      <c r="K3" s="14" t="s">
        <v>3</v>
      </c>
      <c r="L3" s="16" t="s">
        <v>4</v>
      </c>
      <c r="M3" s="14" t="s">
        <v>3</v>
      </c>
      <c r="N3" s="16" t="s">
        <v>4</v>
      </c>
      <c r="O3" s="14" t="s">
        <v>3</v>
      </c>
      <c r="P3" s="16" t="s">
        <v>4</v>
      </c>
    </row>
    <row r="4" spans="2:16" ht="30.6" customHeight="1" thickBot="1" x14ac:dyDescent="0.5">
      <c r="B4" s="8" t="s">
        <v>5</v>
      </c>
      <c r="C4" s="9">
        <v>0.52100000000000002</v>
      </c>
      <c r="D4" s="10">
        <f>ROUNDDOWN(1434/2830,3)</f>
        <v>0.50600000000000001</v>
      </c>
      <c r="E4" s="9">
        <v>0.54900000000000004</v>
      </c>
      <c r="F4" s="10">
        <f>ROUNDDOWN(721/1365,3)</f>
        <v>0.52800000000000002</v>
      </c>
      <c r="G4" s="9">
        <v>0.49399999999999999</v>
      </c>
      <c r="H4" s="10">
        <f>ROUNDDOWN(713/1465,3)</f>
        <v>0.48599999999999999</v>
      </c>
      <c r="J4" s="8" t="s">
        <v>5</v>
      </c>
      <c r="K4" s="9">
        <v>0.52400000000000002</v>
      </c>
      <c r="L4" s="10">
        <f>ROUNDDOWN(1514/2836,3)</f>
        <v>0.53300000000000003</v>
      </c>
      <c r="M4" s="9">
        <v>0.54600000000000004</v>
      </c>
      <c r="N4" s="10">
        <f>ROUNDDOWN(744/1353,3)</f>
        <v>0.54900000000000004</v>
      </c>
      <c r="O4" s="9">
        <v>0.503</v>
      </c>
      <c r="P4" s="10">
        <f>ROUNDDOWN(770/1483,3)</f>
        <v>0.51900000000000002</v>
      </c>
    </row>
    <row r="5" spans="2:16" ht="30.6" customHeight="1" thickTop="1" x14ac:dyDescent="0.45">
      <c r="B5" s="5" t="s">
        <v>6</v>
      </c>
      <c r="C5" s="6">
        <v>0.55600000000000005</v>
      </c>
      <c r="D5" s="7">
        <f>ROUNDDOWN(33/62,3)</f>
        <v>0.53200000000000003</v>
      </c>
      <c r="E5" s="6">
        <v>0.629</v>
      </c>
      <c r="F5" s="7">
        <f>ROUNDDOWN(13/29,3)</f>
        <v>0.44800000000000001</v>
      </c>
      <c r="G5" s="6">
        <v>0.498</v>
      </c>
      <c r="H5" s="7">
        <f>ROUNDDOWN(20/33,3)</f>
        <v>0.60599999999999998</v>
      </c>
      <c r="J5" s="5" t="s">
        <v>6</v>
      </c>
      <c r="K5" s="6">
        <v>0.56799999999999995</v>
      </c>
      <c r="L5" s="7">
        <f>ROUNDDOWN(44/74,3)</f>
        <v>0.59399999999999997</v>
      </c>
      <c r="M5" s="6">
        <v>0.62</v>
      </c>
      <c r="N5" s="7">
        <f>ROUNDDOWN(22/38,3)</f>
        <v>0.57799999999999996</v>
      </c>
      <c r="O5" s="6">
        <v>0.52200000000000002</v>
      </c>
      <c r="P5" s="7">
        <f>ROUNDDOWN(22/36,3)</f>
        <v>0.61099999999999999</v>
      </c>
    </row>
    <row r="6" spans="2:16" ht="30.6" customHeight="1" x14ac:dyDescent="0.45">
      <c r="B6" s="1" t="s">
        <v>7</v>
      </c>
      <c r="C6" s="3">
        <v>0.49399999999999999</v>
      </c>
      <c r="D6" s="4">
        <f>ROUNDDOWN(185/375,3)</f>
        <v>0.49299999999999999</v>
      </c>
      <c r="E6" s="3">
        <v>0.54600000000000004</v>
      </c>
      <c r="F6" s="4">
        <f>ROUNDDOWN(94/178,3)</f>
        <v>0.52800000000000002</v>
      </c>
      <c r="G6" s="3">
        <v>0.439</v>
      </c>
      <c r="H6" s="4">
        <f>ROUNDDOWN(91/197,3)</f>
        <v>0.46100000000000002</v>
      </c>
      <c r="J6" s="1" t="s">
        <v>7</v>
      </c>
      <c r="K6" s="3">
        <v>0.49199999999999999</v>
      </c>
      <c r="L6" s="4">
        <f>ROUNDDOWN(190/365,3)</f>
        <v>0.52</v>
      </c>
      <c r="M6" s="3">
        <v>0.53400000000000003</v>
      </c>
      <c r="N6" s="4">
        <f>ROUNDDOWN(96/176,3)</f>
        <v>0.54500000000000004</v>
      </c>
      <c r="O6" s="3">
        <v>0.44800000000000001</v>
      </c>
      <c r="P6" s="4">
        <f>ROUNDDOWN(94/189,3)</f>
        <v>0.497</v>
      </c>
    </row>
    <row r="7" spans="2:16" ht="30.6" customHeight="1" x14ac:dyDescent="0.45">
      <c r="B7" s="1" t="s">
        <v>8</v>
      </c>
      <c r="C7" s="3">
        <v>0.44500000000000001</v>
      </c>
      <c r="D7" s="4">
        <f>ROUNDDOWN(197/429,3)</f>
        <v>0.45900000000000002</v>
      </c>
      <c r="E7" s="3">
        <v>0.498</v>
      </c>
      <c r="F7" s="4">
        <f>ROUNDDOWN(109/226,3)</f>
        <v>0.48199999999999998</v>
      </c>
      <c r="G7" s="3">
        <v>0.38900000000000001</v>
      </c>
      <c r="H7" s="4">
        <f>ROUNDDOWN(88/203,3)</f>
        <v>0.433</v>
      </c>
      <c r="J7" s="1" t="s">
        <v>8</v>
      </c>
      <c r="K7" s="3">
        <v>0.44700000000000001</v>
      </c>
      <c r="L7" s="4">
        <f>ROUNDDOWN(184/411,3)</f>
        <v>0.44700000000000001</v>
      </c>
      <c r="M7" s="3">
        <v>0.49199999999999999</v>
      </c>
      <c r="N7" s="4">
        <f>ROUNDDOWN(101/202,3)</f>
        <v>0.5</v>
      </c>
      <c r="O7" s="3">
        <v>0.4</v>
      </c>
      <c r="P7" s="4">
        <f>ROUNDDOWN(83/209,3)</f>
        <v>0.39700000000000002</v>
      </c>
    </row>
    <row r="8" spans="2:16" ht="30.6" customHeight="1" x14ac:dyDescent="0.45">
      <c r="B8" s="1" t="s">
        <v>9</v>
      </c>
      <c r="C8" s="3">
        <v>0.46500000000000002</v>
      </c>
      <c r="D8" s="4">
        <f>ROUNDDOWN(253/531,3)</f>
        <v>0.47599999999999998</v>
      </c>
      <c r="E8" s="3">
        <v>0.51100000000000001</v>
      </c>
      <c r="F8" s="4">
        <f>ROUNDDOWN(133/257,3)</f>
        <v>0.51700000000000002</v>
      </c>
      <c r="G8" s="3">
        <v>0.41699999999999998</v>
      </c>
      <c r="H8" s="4">
        <f>ROUNDDOWN(120/274,3)</f>
        <v>0.437</v>
      </c>
      <c r="J8" s="1" t="s">
        <v>9</v>
      </c>
      <c r="K8" s="3">
        <v>0.45900000000000002</v>
      </c>
      <c r="L8" s="4">
        <f>ROUNDDOWN(257/549,3)</f>
        <v>0.46800000000000003</v>
      </c>
      <c r="M8" s="3">
        <v>0.49299999999999999</v>
      </c>
      <c r="N8" s="4">
        <f>ROUNDDOWN(135/267,3)</f>
        <v>0.505</v>
      </c>
      <c r="O8" s="3">
        <v>0.42299999999999999</v>
      </c>
      <c r="P8" s="4">
        <f>ROUNDDOWN(122/282,3)</f>
        <v>0.432</v>
      </c>
    </row>
    <row r="9" spans="2:16" ht="30.6" customHeight="1" x14ac:dyDescent="0.45">
      <c r="B9" s="1" t="s">
        <v>10</v>
      </c>
      <c r="C9" s="3">
        <v>0.46800000000000003</v>
      </c>
      <c r="D9" s="4">
        <f>ROUNDDOWN(235/550,3)</f>
        <v>0.42699999999999999</v>
      </c>
      <c r="E9" s="3">
        <v>0.49299999999999999</v>
      </c>
      <c r="F9" s="4">
        <f>ROUNDDOWN(130/276,3)</f>
        <v>0.47099999999999997</v>
      </c>
      <c r="G9" s="3">
        <v>0.443</v>
      </c>
      <c r="H9" s="4">
        <f>ROUNDDOWN(105/274,3)</f>
        <v>0.38300000000000001</v>
      </c>
      <c r="J9" s="1" t="s">
        <v>10</v>
      </c>
      <c r="K9" s="3">
        <v>0.47799999999999998</v>
      </c>
      <c r="L9" s="4">
        <f>ROUNDDOWN(262/548,3)</f>
        <v>0.47799999999999998</v>
      </c>
      <c r="M9" s="3">
        <v>0.49299999999999999</v>
      </c>
      <c r="N9" s="4">
        <f>ROUNDDOWN(126/256,3)</f>
        <v>0.49199999999999999</v>
      </c>
      <c r="O9" s="3">
        <v>0.46400000000000002</v>
      </c>
      <c r="P9" s="4">
        <f>ROUNDDOWN(136/292,3)</f>
        <v>0.46500000000000002</v>
      </c>
    </row>
    <row r="10" spans="2:16" ht="30.6" customHeight="1" x14ac:dyDescent="0.45">
      <c r="B10" s="1" t="s">
        <v>11</v>
      </c>
      <c r="C10" s="3">
        <v>0.56899999999999995</v>
      </c>
      <c r="D10" s="4">
        <f>ROUNDDOWN(211/402,3)</f>
        <v>0.52400000000000002</v>
      </c>
      <c r="E10" s="3">
        <v>0.55800000000000005</v>
      </c>
      <c r="F10" s="4">
        <f>ROUNDDOWN(104/189,3)</f>
        <v>0.55000000000000004</v>
      </c>
      <c r="G10" s="3">
        <v>0.57899999999999996</v>
      </c>
      <c r="H10" s="4">
        <f>ROUNDDOWN(107/213,3)</f>
        <v>0.502</v>
      </c>
      <c r="J10" s="1" t="s">
        <v>11</v>
      </c>
      <c r="K10" s="3">
        <v>0.56499999999999995</v>
      </c>
      <c r="L10" s="4">
        <f>ROUNDDOWN(244/404,3)</f>
        <v>0.60299999999999998</v>
      </c>
      <c r="M10" s="3">
        <v>0.56799999999999995</v>
      </c>
      <c r="N10" s="4">
        <f>ROUNDDOWN(111/192,3)</f>
        <v>0.57799999999999996</v>
      </c>
      <c r="O10" s="3">
        <v>0.56299999999999994</v>
      </c>
      <c r="P10" s="4">
        <f>ROUNDDOWN(133/212,3)</f>
        <v>0.627</v>
      </c>
    </row>
    <row r="11" spans="2:16" ht="30.6" customHeight="1" x14ac:dyDescent="0.45">
      <c r="B11" s="1" t="s">
        <v>12</v>
      </c>
      <c r="C11" s="3">
        <v>0.67300000000000004</v>
      </c>
      <c r="D11" s="4">
        <f>ROUNDDOWN(320/481,3)</f>
        <v>0.66500000000000004</v>
      </c>
      <c r="E11" s="3">
        <v>0.68600000000000005</v>
      </c>
      <c r="F11" s="4">
        <f>ROUNDDOWN(138/210,3)</f>
        <v>0.65700000000000003</v>
      </c>
      <c r="G11" s="3">
        <v>0.66200000000000003</v>
      </c>
      <c r="H11" s="4">
        <f>ROUNDDOWN(182/271,3)</f>
        <v>0.67100000000000004</v>
      </c>
      <c r="J11" s="1" t="s">
        <v>12</v>
      </c>
      <c r="K11" s="3">
        <v>0.68799999999999994</v>
      </c>
      <c r="L11" s="4">
        <f>ROUNDDOWN(333/485,3)</f>
        <v>0.68600000000000005</v>
      </c>
      <c r="M11" s="3">
        <v>0.69799999999999995</v>
      </c>
      <c r="N11" s="4">
        <f>ROUNDDOWN(153/222,3)</f>
        <v>0.68899999999999995</v>
      </c>
      <c r="O11" s="3">
        <v>0.68</v>
      </c>
      <c r="P11" s="4">
        <f>ROUNDDOWN(180/263,3)</f>
        <v>0.68400000000000005</v>
      </c>
    </row>
    <row r="12" spans="2:16" ht="3" customHeight="1" x14ac:dyDescent="0.45"/>
    <row r="13" spans="2:16" ht="30.6" customHeight="1" x14ac:dyDescent="0.45">
      <c r="B13" s="1" t="s">
        <v>13</v>
      </c>
      <c r="C13" s="3">
        <v>0.52</v>
      </c>
      <c r="D13" s="4">
        <f>ROUNDDOWN(1401/2768,3)</f>
        <v>0.50600000000000001</v>
      </c>
      <c r="E13" s="3">
        <v>0.54700000000000004</v>
      </c>
      <c r="F13" s="4">
        <f>ROUNDDOWN(708/1336,3)</f>
        <v>0.52900000000000003</v>
      </c>
      <c r="G13" s="3">
        <v>0.49399999999999999</v>
      </c>
      <c r="H13" s="4">
        <f>ROUNDDOWN(693/1432,3)</f>
        <v>0.48299999999999998</v>
      </c>
      <c r="J13" s="1" t="s">
        <v>13</v>
      </c>
      <c r="K13" s="3">
        <v>0.52300000000000002</v>
      </c>
      <c r="L13" s="4">
        <v>0.53100000000000003</v>
      </c>
      <c r="M13" s="3">
        <v>0.54400000000000004</v>
      </c>
      <c r="N13" s="4">
        <f>ROUNDDOWN(722/1315,3)</f>
        <v>0.54900000000000004</v>
      </c>
      <c r="O13" s="3">
        <v>0.502</v>
      </c>
      <c r="P13" s="4">
        <f>ROUNDDOWN(748/1447,3)</f>
        <v>0.51600000000000001</v>
      </c>
    </row>
    <row r="15" spans="2:16" ht="30.6" customHeight="1" x14ac:dyDescent="0.45">
      <c r="B15" s="12" t="s">
        <v>70</v>
      </c>
      <c r="H15" s="11"/>
      <c r="J15" s="17"/>
    </row>
    <row r="16" spans="2:16" ht="30.6" customHeight="1" x14ac:dyDescent="0.45">
      <c r="B16" s="2"/>
      <c r="C16" s="271" t="s">
        <v>0</v>
      </c>
      <c r="D16" s="272"/>
      <c r="E16" s="271" t="s">
        <v>1</v>
      </c>
      <c r="F16" s="272"/>
      <c r="G16" s="271" t="s">
        <v>2</v>
      </c>
      <c r="H16" s="272"/>
    </row>
    <row r="17" spans="2:8" ht="30.6" customHeight="1" x14ac:dyDescent="0.45">
      <c r="B17" s="1"/>
      <c r="C17" s="14" t="s">
        <v>3</v>
      </c>
      <c r="D17" s="16" t="s">
        <v>4</v>
      </c>
      <c r="E17" s="14" t="s">
        <v>3</v>
      </c>
      <c r="F17" s="16" t="s">
        <v>4</v>
      </c>
      <c r="G17" s="14" t="s">
        <v>3</v>
      </c>
      <c r="H17" s="16" t="s">
        <v>4</v>
      </c>
    </row>
    <row r="18" spans="2:8" ht="30.6" customHeight="1" thickBot="1" x14ac:dyDescent="0.5">
      <c r="B18" s="8" t="s">
        <v>5</v>
      </c>
      <c r="C18" s="9">
        <f>21063/40000</f>
        <v>0.52657500000000002</v>
      </c>
      <c r="D18" s="10">
        <f>1482/2871</f>
        <v>0.51619644723092994</v>
      </c>
      <c r="E18" s="9">
        <f>11094/19893</f>
        <v>0.55768360729904987</v>
      </c>
      <c r="F18" s="10">
        <f>757/1357</f>
        <v>0.55784819454679435</v>
      </c>
      <c r="G18" s="9">
        <f>9949/20053</f>
        <v>0.49613524160973421</v>
      </c>
      <c r="H18" s="10">
        <f>722/1508</f>
        <v>0.47877984084880637</v>
      </c>
    </row>
    <row r="19" spans="2:8" ht="30.6" customHeight="1" thickTop="1" x14ac:dyDescent="0.45">
      <c r="B19" s="5" t="s">
        <v>6</v>
      </c>
      <c r="C19" s="6">
        <f>532/924</f>
        <v>0.5757575757575758</v>
      </c>
      <c r="D19" s="7">
        <f>30/64</f>
        <v>0.46875</v>
      </c>
      <c r="E19" s="6">
        <f>287/455</f>
        <v>0.63076923076923075</v>
      </c>
      <c r="F19" s="7">
        <f>16/30</f>
        <v>0.53333333333333333</v>
      </c>
      <c r="G19" s="6">
        <f>240/462</f>
        <v>0.51948051948051943</v>
      </c>
      <c r="H19" s="7">
        <f>14/34</f>
        <v>0.41176470588235292</v>
      </c>
    </row>
    <row r="20" spans="2:8" ht="30.6" customHeight="1" x14ac:dyDescent="0.45">
      <c r="B20" s="1" t="s">
        <v>7</v>
      </c>
      <c r="C20" s="3">
        <f>2534/5143</f>
        <v>0.49270853587400348</v>
      </c>
      <c r="D20" s="4">
        <f>191/407</f>
        <v>0.46928746928746928</v>
      </c>
      <c r="E20" s="3">
        <f>1424/2606</f>
        <v>0.54643131235610132</v>
      </c>
      <c r="F20" s="4">
        <f>99/195</f>
        <v>0.50769230769230766</v>
      </c>
      <c r="G20" s="3">
        <f>1097/2498</f>
        <v>0.43915132105684546</v>
      </c>
      <c r="H20" s="4">
        <f>89/207</f>
        <v>0.42995169082125606</v>
      </c>
    </row>
    <row r="21" spans="2:8" ht="30.6" customHeight="1" x14ac:dyDescent="0.45">
      <c r="B21" s="1" t="s">
        <v>8</v>
      </c>
      <c r="C21" s="3">
        <f>2630/5687</f>
        <v>0.46245823808686476</v>
      </c>
      <c r="D21" s="4">
        <f>179/387</f>
        <v>0.46253229974160209</v>
      </c>
      <c r="E21" s="3">
        <f>1490/2905</f>
        <v>0.5129087779690189</v>
      </c>
      <c r="F21" s="4">
        <f>101/187</f>
        <v>0.5401069518716578</v>
      </c>
      <c r="G21" s="3">
        <f>1140/2778</f>
        <v>0.41036717062634992</v>
      </c>
      <c r="H21" s="4">
        <f>78/200</f>
        <v>0.39</v>
      </c>
    </row>
    <row r="22" spans="2:8" ht="30.6" customHeight="1" x14ac:dyDescent="0.45">
      <c r="B22" s="1" t="s">
        <v>9</v>
      </c>
      <c r="C22" s="3">
        <f>3385/7371</f>
        <v>0.45923212589879259</v>
      </c>
      <c r="D22" s="4">
        <f>230/522</f>
        <v>0.44061302681992337</v>
      </c>
      <c r="E22" s="3">
        <f>1937/3756</f>
        <v>0.51570820021299257</v>
      </c>
      <c r="F22" s="4">
        <f>129/257</f>
        <v>0.50194552529182879</v>
      </c>
      <c r="G22" s="3">
        <f>1446/3611</f>
        <v>0.40044309055663252</v>
      </c>
      <c r="H22" s="4">
        <f>101/264</f>
        <v>0.38257575757575757</v>
      </c>
    </row>
    <row r="23" spans="2:8" ht="30.6" customHeight="1" x14ac:dyDescent="0.45">
      <c r="B23" s="1" t="s">
        <v>10</v>
      </c>
      <c r="C23" s="3">
        <f>3649/7508</f>
        <v>0.48601491742141717</v>
      </c>
      <c r="D23" s="4">
        <f>280/583</f>
        <v>0.48027444253859347</v>
      </c>
      <c r="E23" s="3">
        <f>1942/3797</f>
        <v>0.51145641295759814</v>
      </c>
      <c r="F23" s="4">
        <f>147/272</f>
        <v>0.5404411764705882</v>
      </c>
      <c r="G23" s="3">
        <f>1707/3711</f>
        <v>0.45998383185125302</v>
      </c>
      <c r="H23" s="4">
        <f>133/311</f>
        <v>0.42765273311897106</v>
      </c>
    </row>
    <row r="24" spans="2:8" ht="30.6" customHeight="1" x14ac:dyDescent="0.45">
      <c r="B24" s="1" t="s">
        <v>11</v>
      </c>
      <c r="C24" s="3">
        <f>3563/6369</f>
        <v>0.55942848170827442</v>
      </c>
      <c r="D24" s="4">
        <f>235/414</f>
        <v>0.56763285024154586</v>
      </c>
      <c r="E24" s="3">
        <f>1778/3138</f>
        <v>0.56660293180369659</v>
      </c>
      <c r="F24" s="4">
        <f>117/203</f>
        <v>0.57635467980295563</v>
      </c>
      <c r="G24" s="3">
        <f>1785/3231</f>
        <v>0.55246053853296195</v>
      </c>
      <c r="H24" s="4">
        <f>118/211</f>
        <v>0.55924170616113744</v>
      </c>
    </row>
    <row r="25" spans="2:8" ht="30.6" customHeight="1" x14ac:dyDescent="0.45">
      <c r="B25" s="1" t="s">
        <v>12</v>
      </c>
      <c r="C25" s="3">
        <f>4770/6998</f>
        <v>0.68162332094884248</v>
      </c>
      <c r="D25" s="4">
        <f>337/494</f>
        <v>0.68218623481781382</v>
      </c>
      <c r="E25" s="3">
        <f>2236/3236</f>
        <v>0.69097651421508033</v>
      </c>
      <c r="F25" s="4">
        <f>148/213</f>
        <v>0.69483568075117375</v>
      </c>
      <c r="G25" s="3">
        <f>2534/3762</f>
        <v>0.67357788410419994</v>
      </c>
      <c r="H25" s="4">
        <f>189/281</f>
        <v>0.67259786476868333</v>
      </c>
    </row>
    <row r="26" spans="2:8" ht="30.6" customHeight="1" x14ac:dyDescent="0.45"/>
    <row r="27" spans="2:8" ht="30.6" customHeight="1" x14ac:dyDescent="0.45">
      <c r="B27" s="1" t="s">
        <v>13</v>
      </c>
      <c r="C27" s="3">
        <v>0.52500000000000002</v>
      </c>
      <c r="D27" s="4">
        <f>1452/2807</f>
        <v>0.51727823298895614</v>
      </c>
      <c r="E27" s="3">
        <f>10807/19438</f>
        <v>0.55597283671159581</v>
      </c>
      <c r="F27" s="4">
        <f>741/1327</f>
        <v>0.55840241145440839</v>
      </c>
      <c r="G27" s="3">
        <f>9709/19591</f>
        <v>0.49558470726353937</v>
      </c>
      <c r="H27" s="4">
        <f>708/1474</f>
        <v>0.48032564450474896</v>
      </c>
    </row>
  </sheetData>
  <mergeCells count="9">
    <mergeCell ref="K2:L2"/>
    <mergeCell ref="M2:N2"/>
    <mergeCell ref="O2:P2"/>
    <mergeCell ref="C16:D16"/>
    <mergeCell ref="E16:F16"/>
    <mergeCell ref="G16:H16"/>
    <mergeCell ref="C2:D2"/>
    <mergeCell ref="E2:F2"/>
    <mergeCell ref="G2:H2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3D62-3F41-4CBC-99DD-396D19757F75}">
  <sheetPr>
    <pageSetUpPr fitToPage="1"/>
  </sheetPr>
  <dimension ref="A1:AB37"/>
  <sheetViews>
    <sheetView showGridLines="0" view="pageBreakPreview" topLeftCell="H4" zoomScale="70" zoomScaleNormal="55" zoomScaleSheetLayoutView="70" workbookViewId="0">
      <selection activeCell="S15" sqref="S15"/>
    </sheetView>
  </sheetViews>
  <sheetFormatPr defaultRowHeight="14.4" x14ac:dyDescent="0.45"/>
  <cols>
    <col min="1" max="1" width="8.796875" style="89" customWidth="1"/>
    <col min="2" max="2" width="21" style="89" customWidth="1"/>
    <col min="3" max="4" width="13.59765625" style="136" customWidth="1"/>
    <col min="5" max="28" width="13.59765625" style="89" customWidth="1"/>
    <col min="29" max="30" width="7.8984375" style="89" customWidth="1"/>
    <col min="31" max="16384" width="8.796875" style="89"/>
  </cols>
  <sheetData>
    <row r="1" spans="1:28" ht="52.8" customHeight="1" thickBot="1" x14ac:dyDescent="0.5">
      <c r="A1" s="262" t="s">
        <v>196</v>
      </c>
    </row>
    <row r="2" spans="1:28" s="137" customFormat="1" ht="73.8" customHeight="1" thickTop="1" thickBot="1" x14ac:dyDescent="0.5">
      <c r="A2" s="336" t="s">
        <v>198</v>
      </c>
      <c r="B2" s="337"/>
      <c r="C2" s="340"/>
      <c r="D2" s="341"/>
      <c r="E2" s="342" t="s">
        <v>211</v>
      </c>
      <c r="F2" s="343"/>
      <c r="G2" s="318" t="s">
        <v>180</v>
      </c>
      <c r="H2" s="319"/>
      <c r="I2" s="318" t="s">
        <v>181</v>
      </c>
      <c r="J2" s="319"/>
      <c r="K2" s="318" t="s">
        <v>182</v>
      </c>
      <c r="L2" s="322"/>
      <c r="M2" s="323" t="s">
        <v>212</v>
      </c>
      <c r="N2" s="324"/>
      <c r="O2" s="322" t="s">
        <v>183</v>
      </c>
      <c r="P2" s="319"/>
      <c r="Q2" s="318" t="s">
        <v>184</v>
      </c>
      <c r="R2" s="319"/>
      <c r="S2" s="318" t="s">
        <v>185</v>
      </c>
      <c r="T2" s="319"/>
      <c r="U2" s="318" t="s">
        <v>186</v>
      </c>
      <c r="V2" s="319"/>
      <c r="W2" s="318" t="s">
        <v>187</v>
      </c>
      <c r="X2" s="319"/>
      <c r="Y2" s="318" t="s">
        <v>188</v>
      </c>
      <c r="Z2" s="319"/>
      <c r="AA2" s="326" t="s">
        <v>213</v>
      </c>
      <c r="AB2" s="327"/>
    </row>
    <row r="3" spans="1:28" ht="42.6" customHeight="1" thickBot="1" x14ac:dyDescent="0.5">
      <c r="A3" s="338"/>
      <c r="B3" s="339"/>
      <c r="C3" s="263" t="s">
        <v>4</v>
      </c>
      <c r="D3" s="264" t="s">
        <v>0</v>
      </c>
      <c r="E3" s="265" t="s">
        <v>4</v>
      </c>
      <c r="F3" s="264" t="s">
        <v>0</v>
      </c>
      <c r="G3" s="265" t="s">
        <v>4</v>
      </c>
      <c r="H3" s="264" t="s">
        <v>0</v>
      </c>
      <c r="I3" s="265" t="s">
        <v>4</v>
      </c>
      <c r="J3" s="266" t="s">
        <v>0</v>
      </c>
      <c r="K3" s="265" t="s">
        <v>4</v>
      </c>
      <c r="L3" s="267" t="s">
        <v>0</v>
      </c>
      <c r="M3" s="268" t="s">
        <v>4</v>
      </c>
      <c r="N3" s="269" t="s">
        <v>0</v>
      </c>
      <c r="O3" s="270" t="s">
        <v>4</v>
      </c>
      <c r="P3" s="264" t="s">
        <v>0</v>
      </c>
      <c r="Q3" s="265" t="s">
        <v>4</v>
      </c>
      <c r="R3" s="266" t="s">
        <v>0</v>
      </c>
      <c r="S3" s="265" t="s">
        <v>4</v>
      </c>
      <c r="T3" s="264" t="s">
        <v>0</v>
      </c>
      <c r="U3" s="265" t="s">
        <v>4</v>
      </c>
      <c r="V3" s="264" t="s">
        <v>0</v>
      </c>
      <c r="W3" s="265" t="s">
        <v>4</v>
      </c>
      <c r="X3" s="266" t="s">
        <v>0</v>
      </c>
      <c r="Y3" s="265" t="s">
        <v>4</v>
      </c>
      <c r="Z3" s="264" t="s">
        <v>0</v>
      </c>
      <c r="AA3" s="265" t="s">
        <v>4</v>
      </c>
      <c r="AB3" s="264" t="s">
        <v>0</v>
      </c>
    </row>
    <row r="4" spans="1:28" ht="24" customHeight="1" thickBot="1" x14ac:dyDescent="0.5">
      <c r="A4" s="318" t="s">
        <v>0</v>
      </c>
      <c r="B4" s="319"/>
      <c r="C4" s="235">
        <v>2793</v>
      </c>
      <c r="D4" s="236">
        <v>40000</v>
      </c>
      <c r="E4" s="235">
        <v>213</v>
      </c>
      <c r="F4" s="236">
        <v>2876</v>
      </c>
      <c r="G4" s="235">
        <v>172</v>
      </c>
      <c r="H4" s="236">
        <v>2516</v>
      </c>
      <c r="I4" s="235">
        <v>489</v>
      </c>
      <c r="J4" s="237">
        <v>7277</v>
      </c>
      <c r="K4" s="235">
        <v>571</v>
      </c>
      <c r="L4" s="238">
        <v>7798</v>
      </c>
      <c r="M4" s="155">
        <f>E4+G4+I4+K4</f>
        <v>1445</v>
      </c>
      <c r="N4" s="138">
        <f>F4+H4+J4+L4</f>
        <v>20467</v>
      </c>
      <c r="O4" s="239">
        <v>392</v>
      </c>
      <c r="P4" s="236">
        <v>5151</v>
      </c>
      <c r="Q4" s="235">
        <v>470</v>
      </c>
      <c r="R4" s="237">
        <v>6974</v>
      </c>
      <c r="S4" s="235">
        <v>117</v>
      </c>
      <c r="T4" s="236">
        <v>1891</v>
      </c>
      <c r="U4" s="235">
        <v>141</v>
      </c>
      <c r="V4" s="236">
        <v>2065</v>
      </c>
      <c r="W4" s="235">
        <v>65</v>
      </c>
      <c r="X4" s="237">
        <v>1065</v>
      </c>
      <c r="Y4" s="235">
        <v>48</v>
      </c>
      <c r="Z4" s="236">
        <v>690</v>
      </c>
      <c r="AA4" s="235">
        <v>115</v>
      </c>
      <c r="AB4" s="236">
        <v>1697</v>
      </c>
    </row>
    <row r="5" spans="1:28" ht="61.2" hidden="1" customHeight="1" x14ac:dyDescent="0.45">
      <c r="A5" s="328" t="s">
        <v>20</v>
      </c>
      <c r="B5" s="139" t="s">
        <v>1</v>
      </c>
      <c r="C5" s="240">
        <v>1365</v>
      </c>
      <c r="D5" s="241">
        <v>19919</v>
      </c>
      <c r="E5" s="242">
        <f>198/1365</f>
        <v>0.14505494505494507</v>
      </c>
      <c r="F5" s="243">
        <f>2998/19919</f>
        <v>0.15050956373311913</v>
      </c>
      <c r="G5" s="242">
        <f>737/1365</f>
        <v>0.5399267399267399</v>
      </c>
      <c r="H5" s="243">
        <f>10805/19919</f>
        <v>0.54244690998544098</v>
      </c>
      <c r="I5" s="242">
        <f>935/1365</f>
        <v>0.68498168498168499</v>
      </c>
      <c r="J5" s="244">
        <f>(2998+10805)/19919</f>
        <v>0.69295647371856017</v>
      </c>
      <c r="K5" s="242">
        <f>314/1365</f>
        <v>0.23003663003663002</v>
      </c>
      <c r="L5" s="245">
        <f>4556/19919</f>
        <v>0.22872634168381947</v>
      </c>
      <c r="M5" s="233">
        <f>314/1365</f>
        <v>0.23003663003663002</v>
      </c>
      <c r="N5" s="234">
        <f>4556/19919</f>
        <v>0.22872634168381947</v>
      </c>
      <c r="O5" s="246">
        <f>737/1365</f>
        <v>0.5399267399267399</v>
      </c>
      <c r="P5" s="243">
        <f>10805/19919</f>
        <v>0.54244690998544098</v>
      </c>
      <c r="Q5" s="242">
        <f>935/1365</f>
        <v>0.68498168498168499</v>
      </c>
      <c r="R5" s="244">
        <f>(2998+10805)/19919</f>
        <v>0.69295647371856017</v>
      </c>
      <c r="S5" s="242">
        <f>314/1365</f>
        <v>0.23003663003663002</v>
      </c>
      <c r="T5" s="243">
        <f>4556/19919</f>
        <v>0.22872634168381947</v>
      </c>
      <c r="U5" s="242">
        <f>737/1365</f>
        <v>0.5399267399267399</v>
      </c>
      <c r="V5" s="243">
        <f>10805/19919</f>
        <v>0.54244690998544098</v>
      </c>
      <c r="W5" s="242">
        <f>935/1365</f>
        <v>0.68498168498168499</v>
      </c>
      <c r="X5" s="244">
        <f>(2998+10805)/19919</f>
        <v>0.69295647371856017</v>
      </c>
      <c r="Y5" s="242">
        <f>314/1365</f>
        <v>0.23003663003663002</v>
      </c>
      <c r="Z5" s="243">
        <f>4556/19919</f>
        <v>0.22872634168381947</v>
      </c>
      <c r="AA5" s="242">
        <f>116/1365</f>
        <v>8.4981684981684985E-2</v>
      </c>
      <c r="AB5" s="243">
        <f>1560/19919</f>
        <v>7.8317184597620368E-2</v>
      </c>
    </row>
    <row r="6" spans="1:28" ht="82.8" hidden="1" customHeight="1" thickBot="1" x14ac:dyDescent="0.5">
      <c r="A6" s="329"/>
      <c r="B6" s="140" t="s">
        <v>2</v>
      </c>
      <c r="C6" s="247">
        <v>1465</v>
      </c>
      <c r="D6" s="248">
        <v>20061</v>
      </c>
      <c r="E6" s="154">
        <f>177/1465</f>
        <v>0.12081911262798635</v>
      </c>
      <c r="F6" s="146">
        <f>2573/20061</f>
        <v>0.12825881062758587</v>
      </c>
      <c r="G6" s="154">
        <f>861/1465</f>
        <v>0.58771331058020482</v>
      </c>
      <c r="H6" s="146">
        <f>11525/20061</f>
        <v>0.57449778176561483</v>
      </c>
      <c r="I6" s="154">
        <f>1038/1465</f>
        <v>0.7085324232081911</v>
      </c>
      <c r="J6" s="147">
        <f>14098/20061</f>
        <v>0.70275659239320076</v>
      </c>
      <c r="K6" s="154">
        <f>325/1465</f>
        <v>0.22184300341296928</v>
      </c>
      <c r="L6" s="148">
        <f>4574/20061</f>
        <v>0.22800458601266138</v>
      </c>
      <c r="M6" s="158">
        <f>325/1465</f>
        <v>0.22184300341296928</v>
      </c>
      <c r="N6" s="149">
        <f>4574/20061</f>
        <v>0.22800458601266138</v>
      </c>
      <c r="O6" s="160">
        <f>861/1465</f>
        <v>0.58771331058020482</v>
      </c>
      <c r="P6" s="146">
        <f>11525/20061</f>
        <v>0.57449778176561483</v>
      </c>
      <c r="Q6" s="154">
        <f>1038/1465</f>
        <v>0.7085324232081911</v>
      </c>
      <c r="R6" s="147">
        <f>14098/20061</f>
        <v>0.70275659239320076</v>
      </c>
      <c r="S6" s="154">
        <f>325/1465</f>
        <v>0.22184300341296928</v>
      </c>
      <c r="T6" s="146">
        <f>4574/20061</f>
        <v>0.22800458601266138</v>
      </c>
      <c r="U6" s="154">
        <f>861/1465</f>
        <v>0.58771331058020482</v>
      </c>
      <c r="V6" s="146">
        <f>11525/20061</f>
        <v>0.57449778176561483</v>
      </c>
      <c r="W6" s="154">
        <f>1038/1465</f>
        <v>0.7085324232081911</v>
      </c>
      <c r="X6" s="147">
        <f>14098/20061</f>
        <v>0.70275659239320076</v>
      </c>
      <c r="Y6" s="154">
        <f>325/1465</f>
        <v>0.22184300341296928</v>
      </c>
      <c r="Z6" s="146">
        <f>4574/20061</f>
        <v>0.22800458601266138</v>
      </c>
      <c r="AA6" s="154">
        <f>102/1465</f>
        <v>6.9624573378839594E-2</v>
      </c>
      <c r="AB6" s="146">
        <f>1389/20061</f>
        <v>6.9238821594137884E-2</v>
      </c>
    </row>
    <row r="7" spans="1:28" ht="24" customHeight="1" x14ac:dyDescent="0.45">
      <c r="A7" s="330" t="s">
        <v>129</v>
      </c>
      <c r="B7" s="320" t="s">
        <v>130</v>
      </c>
      <c r="C7" s="249">
        <v>176</v>
      </c>
      <c r="D7" s="250">
        <v>2612</v>
      </c>
      <c r="E7" s="249">
        <v>42</v>
      </c>
      <c r="F7" s="251">
        <v>489</v>
      </c>
      <c r="G7" s="252">
        <v>31</v>
      </c>
      <c r="H7" s="251">
        <v>412</v>
      </c>
      <c r="I7" s="252">
        <v>40</v>
      </c>
      <c r="J7" s="253">
        <v>725</v>
      </c>
      <c r="K7" s="252">
        <v>40</v>
      </c>
      <c r="L7" s="254">
        <v>486</v>
      </c>
      <c r="M7" s="156">
        <f>E7+G7+I7+K7</f>
        <v>153</v>
      </c>
      <c r="N7" s="141">
        <f>F7+H7+J7+L7</f>
        <v>2112</v>
      </c>
      <c r="O7" s="255">
        <v>11</v>
      </c>
      <c r="P7" s="251">
        <v>217</v>
      </c>
      <c r="Q7" s="252">
        <v>8</v>
      </c>
      <c r="R7" s="253">
        <v>149</v>
      </c>
      <c r="S7" s="252">
        <v>1</v>
      </c>
      <c r="T7" s="251">
        <v>55</v>
      </c>
      <c r="U7" s="252">
        <v>3</v>
      </c>
      <c r="V7" s="251">
        <v>49</v>
      </c>
      <c r="W7" s="252">
        <v>0</v>
      </c>
      <c r="X7" s="253">
        <v>10</v>
      </c>
      <c r="Y7" s="252">
        <v>0</v>
      </c>
      <c r="Z7" s="251">
        <v>8</v>
      </c>
      <c r="AA7" s="252">
        <v>0</v>
      </c>
      <c r="AB7" s="251">
        <v>12</v>
      </c>
    </row>
    <row r="8" spans="1:28" ht="24" customHeight="1" thickBot="1" x14ac:dyDescent="0.5">
      <c r="A8" s="331"/>
      <c r="B8" s="321"/>
      <c r="C8" s="153">
        <v>5.8000000000000003E-2</v>
      </c>
      <c r="D8" s="142">
        <v>6.8000000000000005E-2</v>
      </c>
      <c r="E8" s="153">
        <f>E7/C7</f>
        <v>0.23863636363636365</v>
      </c>
      <c r="F8" s="142">
        <f>F7/D7</f>
        <v>0.18721286370597243</v>
      </c>
      <c r="G8" s="153">
        <f>G7/C7</f>
        <v>0.17613636363636365</v>
      </c>
      <c r="H8" s="142">
        <f>H7/D7</f>
        <v>0.15773353751914243</v>
      </c>
      <c r="I8" s="153">
        <f>I7/C7</f>
        <v>0.22727272727272727</v>
      </c>
      <c r="J8" s="143">
        <f>J7/D7</f>
        <v>0.27756508422664627</v>
      </c>
      <c r="K8" s="153">
        <f>K7/C7</f>
        <v>0.22727272727272727</v>
      </c>
      <c r="L8" s="144">
        <f>L7/D7</f>
        <v>0.18606431852986219</v>
      </c>
      <c r="M8" s="157">
        <f>M7/C7</f>
        <v>0.86931818181818177</v>
      </c>
      <c r="N8" s="145">
        <f>N7/D7</f>
        <v>0.80857580398162332</v>
      </c>
      <c r="O8" s="159">
        <f>O7/C7</f>
        <v>6.25E-2</v>
      </c>
      <c r="P8" s="142">
        <f>P7/D7</f>
        <v>8.3078101071975496E-2</v>
      </c>
      <c r="Q8" s="153">
        <f>Q7/C7</f>
        <v>4.5454545454545456E-2</v>
      </c>
      <c r="R8" s="143">
        <f>R7/D7</f>
        <v>5.7044410413476264E-2</v>
      </c>
      <c r="S8" s="153">
        <f>S7/C7</f>
        <v>5.681818181818182E-3</v>
      </c>
      <c r="T8" s="142">
        <f>T7/D7</f>
        <v>2.1056661562021441E-2</v>
      </c>
      <c r="U8" s="153">
        <f>U7/C7</f>
        <v>1.7045454545454544E-2</v>
      </c>
      <c r="V8" s="142">
        <f>V7/D7</f>
        <v>1.8759571209800919E-2</v>
      </c>
      <c r="W8" s="153">
        <f>W7/C7</f>
        <v>0</v>
      </c>
      <c r="X8" s="143">
        <f>X7/D7</f>
        <v>3.8284839203675345E-3</v>
      </c>
      <c r="Y8" s="153">
        <f>Y7/C7</f>
        <v>0</v>
      </c>
      <c r="Z8" s="142">
        <f>Z7/D7</f>
        <v>3.0627871362940277E-3</v>
      </c>
      <c r="AA8" s="153">
        <f>AA7/C7</f>
        <v>0</v>
      </c>
      <c r="AB8" s="142">
        <f>AB7/D7</f>
        <v>4.5941807044410417E-3</v>
      </c>
    </row>
    <row r="9" spans="1:28" ht="24" customHeight="1" x14ac:dyDescent="0.45">
      <c r="A9" s="332"/>
      <c r="B9" s="320" t="s">
        <v>131</v>
      </c>
      <c r="C9" s="252">
        <v>856</v>
      </c>
      <c r="D9" s="251">
        <v>12942</v>
      </c>
      <c r="E9" s="249">
        <v>69</v>
      </c>
      <c r="F9" s="251">
        <v>986</v>
      </c>
      <c r="G9" s="252">
        <v>61</v>
      </c>
      <c r="H9" s="251">
        <v>980</v>
      </c>
      <c r="I9" s="252">
        <v>196</v>
      </c>
      <c r="J9" s="251">
        <v>3054</v>
      </c>
      <c r="K9" s="252">
        <v>192</v>
      </c>
      <c r="L9" s="254">
        <v>3002</v>
      </c>
      <c r="M9" s="156">
        <f>E9+G9+I9+K9</f>
        <v>518</v>
      </c>
      <c r="N9" s="141">
        <f>F9+H9+J9+L9</f>
        <v>8022</v>
      </c>
      <c r="O9" s="255">
        <v>128</v>
      </c>
      <c r="P9" s="251">
        <v>1711</v>
      </c>
      <c r="Q9" s="252">
        <v>110</v>
      </c>
      <c r="R9" s="251">
        <v>1784</v>
      </c>
      <c r="S9" s="252">
        <v>32</v>
      </c>
      <c r="T9" s="251">
        <v>486</v>
      </c>
      <c r="U9" s="252">
        <v>34</v>
      </c>
      <c r="V9" s="251">
        <v>466</v>
      </c>
      <c r="W9" s="252">
        <v>14</v>
      </c>
      <c r="X9" s="251">
        <v>207</v>
      </c>
      <c r="Y9" s="252">
        <v>9</v>
      </c>
      <c r="Z9" s="251">
        <v>100</v>
      </c>
      <c r="AA9" s="252">
        <v>11</v>
      </c>
      <c r="AB9" s="251">
        <v>166</v>
      </c>
    </row>
    <row r="10" spans="1:28" ht="24" customHeight="1" thickBot="1" x14ac:dyDescent="0.5">
      <c r="A10" s="332"/>
      <c r="B10" s="335"/>
      <c r="C10" s="154">
        <f>C9/$C$4</f>
        <v>0.30648048693161473</v>
      </c>
      <c r="D10" s="146">
        <f>D9/$D$4</f>
        <v>0.32355</v>
      </c>
      <c r="E10" s="154">
        <f>E9/C9</f>
        <v>8.0607476635514014E-2</v>
      </c>
      <c r="F10" s="146">
        <f>F9/D9</f>
        <v>7.618606088703446E-2</v>
      </c>
      <c r="G10" s="154">
        <f>G9/C9</f>
        <v>7.1261682242990648E-2</v>
      </c>
      <c r="H10" s="146">
        <f>H9/D9</f>
        <v>7.5722454025652919E-2</v>
      </c>
      <c r="I10" s="154">
        <f>I9/C9</f>
        <v>0.22897196261682243</v>
      </c>
      <c r="J10" s="147">
        <f>J9/D9</f>
        <v>0.23597589244320816</v>
      </c>
      <c r="K10" s="154">
        <f>K9/C9</f>
        <v>0.22429906542056074</v>
      </c>
      <c r="L10" s="148">
        <f>L9/D9</f>
        <v>0.23195796631123475</v>
      </c>
      <c r="M10" s="158">
        <f>M9/C9</f>
        <v>0.60514018691588789</v>
      </c>
      <c r="N10" s="149">
        <f>N9/D9</f>
        <v>0.61984237366713024</v>
      </c>
      <c r="O10" s="160">
        <f>O9/C9</f>
        <v>0.14953271028037382</v>
      </c>
      <c r="P10" s="146">
        <f>P9/D9</f>
        <v>0.13220522330397155</v>
      </c>
      <c r="Q10" s="154">
        <f>Q9/C9</f>
        <v>0.12850467289719625</v>
      </c>
      <c r="R10" s="147">
        <f>R9/D9</f>
        <v>0.13784577345078042</v>
      </c>
      <c r="S10" s="154">
        <f>S9/C9</f>
        <v>3.7383177570093455E-2</v>
      </c>
      <c r="T10" s="146">
        <f>T9/D9</f>
        <v>3.7552155771905425E-2</v>
      </c>
      <c r="U10" s="154">
        <f>U9/C9</f>
        <v>3.9719626168224297E-2</v>
      </c>
      <c r="V10" s="146">
        <f>V9/D9</f>
        <v>3.6006799567300261E-2</v>
      </c>
      <c r="W10" s="154">
        <f>W9/C9</f>
        <v>1.6355140186915886E-2</v>
      </c>
      <c r="X10" s="147">
        <f>X9/D9</f>
        <v>1.5994436717663423E-2</v>
      </c>
      <c r="Y10" s="154">
        <f>Y9/C9</f>
        <v>1.0514018691588784E-2</v>
      </c>
      <c r="Z10" s="146">
        <f>Z9/D9</f>
        <v>7.7267810230258072E-3</v>
      </c>
      <c r="AA10" s="154">
        <f>AA9/C9</f>
        <v>1.2850467289719626E-2</v>
      </c>
      <c r="AB10" s="146">
        <f>AB9/D9</f>
        <v>1.282645649822284E-2</v>
      </c>
    </row>
    <row r="11" spans="1:28" ht="24" customHeight="1" x14ac:dyDescent="0.45">
      <c r="A11" s="332"/>
      <c r="B11" s="320" t="s">
        <v>132</v>
      </c>
      <c r="C11" s="252">
        <v>16</v>
      </c>
      <c r="D11" s="251">
        <v>212</v>
      </c>
      <c r="E11" s="249">
        <v>3</v>
      </c>
      <c r="F11" s="251">
        <v>38</v>
      </c>
      <c r="G11" s="252">
        <v>3</v>
      </c>
      <c r="H11" s="251">
        <v>31</v>
      </c>
      <c r="I11" s="252">
        <v>2</v>
      </c>
      <c r="J11" s="251">
        <v>51</v>
      </c>
      <c r="K11" s="252">
        <v>5</v>
      </c>
      <c r="L11" s="254">
        <v>40</v>
      </c>
      <c r="M11" s="156">
        <f>E11+G11+I11+K11</f>
        <v>13</v>
      </c>
      <c r="N11" s="141">
        <f>F11+H11+J11+L11</f>
        <v>160</v>
      </c>
      <c r="O11" s="255">
        <v>0</v>
      </c>
      <c r="P11" s="251">
        <v>25</v>
      </c>
      <c r="Q11" s="252">
        <v>2</v>
      </c>
      <c r="R11" s="251">
        <v>17</v>
      </c>
      <c r="S11" s="252">
        <v>1</v>
      </c>
      <c r="T11" s="251">
        <v>3</v>
      </c>
      <c r="U11" s="252">
        <v>0</v>
      </c>
      <c r="V11" s="251">
        <v>1</v>
      </c>
      <c r="W11" s="252">
        <v>0</v>
      </c>
      <c r="X11" s="251">
        <v>2</v>
      </c>
      <c r="Y11" s="252">
        <v>0</v>
      </c>
      <c r="Z11" s="251">
        <v>2</v>
      </c>
      <c r="AA11" s="252">
        <v>0</v>
      </c>
      <c r="AB11" s="251">
        <v>2</v>
      </c>
    </row>
    <row r="12" spans="1:28" ht="24" customHeight="1" thickBot="1" x14ac:dyDescent="0.5">
      <c r="A12" s="332"/>
      <c r="B12" s="321"/>
      <c r="C12" s="153">
        <f>C11/$C$4</f>
        <v>5.7286072323666313E-3</v>
      </c>
      <c r="D12" s="142">
        <f>D11/$D$4</f>
        <v>5.3E-3</v>
      </c>
      <c r="E12" s="154">
        <f>E11/C11</f>
        <v>0.1875</v>
      </c>
      <c r="F12" s="146">
        <f t="shared" ref="F12" si="0">F11/D11</f>
        <v>0.17924528301886791</v>
      </c>
      <c r="G12" s="154">
        <f t="shared" ref="G12" si="1">G11/C11</f>
        <v>0.1875</v>
      </c>
      <c r="H12" s="146">
        <f t="shared" ref="H12" si="2">H11/D11</f>
        <v>0.14622641509433962</v>
      </c>
      <c r="I12" s="154">
        <f t="shared" ref="I12" si="3">I11/C11</f>
        <v>0.125</v>
      </c>
      <c r="J12" s="147">
        <f t="shared" ref="J12" si="4">J11/D11</f>
        <v>0.24056603773584906</v>
      </c>
      <c r="K12" s="154">
        <f t="shared" ref="K12" si="5">K11/C11</f>
        <v>0.3125</v>
      </c>
      <c r="L12" s="148">
        <f t="shared" ref="L12" si="6">L11/D11</f>
        <v>0.18867924528301888</v>
      </c>
      <c r="M12" s="158">
        <f>M11/C11</f>
        <v>0.8125</v>
      </c>
      <c r="N12" s="149">
        <f>N11/D11</f>
        <v>0.75471698113207553</v>
      </c>
      <c r="O12" s="160">
        <f>O11/C11</f>
        <v>0</v>
      </c>
      <c r="P12" s="146">
        <f>P11/D11</f>
        <v>0.11792452830188679</v>
      </c>
      <c r="Q12" s="154">
        <f>Q11/C11</f>
        <v>0.125</v>
      </c>
      <c r="R12" s="147">
        <f>R11/D11</f>
        <v>8.0188679245283015E-2</v>
      </c>
      <c r="S12" s="154">
        <f>S11/C11</f>
        <v>6.25E-2</v>
      </c>
      <c r="T12" s="146">
        <f>T11/D11</f>
        <v>1.4150943396226415E-2</v>
      </c>
      <c r="U12" s="154">
        <f>U11/C11</f>
        <v>0</v>
      </c>
      <c r="V12" s="146">
        <f>V11/D11</f>
        <v>4.7169811320754715E-3</v>
      </c>
      <c r="W12" s="154">
        <f>W11/C11</f>
        <v>0</v>
      </c>
      <c r="X12" s="147">
        <f>X11/D11</f>
        <v>9.433962264150943E-3</v>
      </c>
      <c r="Y12" s="154">
        <f>Y11/C11</f>
        <v>0</v>
      </c>
      <c r="Z12" s="146">
        <f>Z11/D11</f>
        <v>9.433962264150943E-3</v>
      </c>
      <c r="AA12" s="154">
        <f>AA11/C11</f>
        <v>0</v>
      </c>
      <c r="AB12" s="146">
        <f>AB11/D11</f>
        <v>9.433962264150943E-3</v>
      </c>
    </row>
    <row r="13" spans="1:28" ht="24" customHeight="1" x14ac:dyDescent="0.45">
      <c r="A13" s="332"/>
      <c r="B13" s="320" t="s">
        <v>133</v>
      </c>
      <c r="C13" s="252">
        <v>39</v>
      </c>
      <c r="D13" s="251">
        <v>758</v>
      </c>
      <c r="E13" s="249">
        <v>5</v>
      </c>
      <c r="F13" s="251">
        <v>80</v>
      </c>
      <c r="G13" s="252">
        <v>3</v>
      </c>
      <c r="H13" s="251">
        <v>68</v>
      </c>
      <c r="I13" s="252">
        <v>7</v>
      </c>
      <c r="J13" s="251">
        <v>160</v>
      </c>
      <c r="K13" s="252">
        <v>9</v>
      </c>
      <c r="L13" s="254">
        <v>175</v>
      </c>
      <c r="M13" s="156">
        <f>E13+G13+I13+K13</f>
        <v>24</v>
      </c>
      <c r="N13" s="141">
        <f>F13+H13+J13+L13</f>
        <v>483</v>
      </c>
      <c r="O13" s="255">
        <v>7</v>
      </c>
      <c r="P13" s="251">
        <v>102</v>
      </c>
      <c r="Q13" s="252">
        <v>6</v>
      </c>
      <c r="R13" s="251">
        <v>82</v>
      </c>
      <c r="S13" s="252">
        <v>1</v>
      </c>
      <c r="T13" s="251">
        <v>28</v>
      </c>
      <c r="U13" s="252">
        <v>0</v>
      </c>
      <c r="V13" s="251">
        <v>30</v>
      </c>
      <c r="W13" s="252">
        <v>0</v>
      </c>
      <c r="X13" s="251">
        <v>19</v>
      </c>
      <c r="Y13" s="252">
        <v>0</v>
      </c>
      <c r="Z13" s="251">
        <v>4</v>
      </c>
      <c r="AA13" s="252">
        <v>1</v>
      </c>
      <c r="AB13" s="251">
        <v>10</v>
      </c>
    </row>
    <row r="14" spans="1:28" ht="24" customHeight="1" thickBot="1" x14ac:dyDescent="0.5">
      <c r="A14" s="332"/>
      <c r="B14" s="321"/>
      <c r="C14" s="153">
        <f>C13/$C$4</f>
        <v>1.3963480128893663E-2</v>
      </c>
      <c r="D14" s="142">
        <f>D13/$D$4</f>
        <v>1.8950000000000002E-2</v>
      </c>
      <c r="E14" s="154">
        <f>E13/C13</f>
        <v>0.12820512820512819</v>
      </c>
      <c r="F14" s="146">
        <f t="shared" ref="F14" si="7">F13/D13</f>
        <v>0.10554089709762533</v>
      </c>
      <c r="G14" s="154">
        <f t="shared" ref="G14" si="8">G13/C13</f>
        <v>7.6923076923076927E-2</v>
      </c>
      <c r="H14" s="146">
        <f t="shared" ref="H14" si="9">H13/D13</f>
        <v>8.9709762532981532E-2</v>
      </c>
      <c r="I14" s="154">
        <f t="shared" ref="I14" si="10">I13/C13</f>
        <v>0.17948717948717949</v>
      </c>
      <c r="J14" s="147">
        <f t="shared" ref="J14" si="11">J13/D13</f>
        <v>0.21108179419525067</v>
      </c>
      <c r="K14" s="154">
        <f t="shared" ref="K14" si="12">K13/C13</f>
        <v>0.23076923076923078</v>
      </c>
      <c r="L14" s="148">
        <f t="shared" ref="L14" si="13">L13/D13</f>
        <v>0.23087071240105542</v>
      </c>
      <c r="M14" s="158">
        <f>M13/C13</f>
        <v>0.61538461538461542</v>
      </c>
      <c r="N14" s="149">
        <f>N13/D13</f>
        <v>0.63720316622691298</v>
      </c>
      <c r="O14" s="160">
        <f>O13/C13</f>
        <v>0.17948717948717949</v>
      </c>
      <c r="P14" s="146">
        <f>P13/D13</f>
        <v>0.13456464379947231</v>
      </c>
      <c r="Q14" s="154">
        <f>Q13/C13</f>
        <v>0.15384615384615385</v>
      </c>
      <c r="R14" s="147">
        <f>R13/D13</f>
        <v>0.10817941952506596</v>
      </c>
      <c r="S14" s="154">
        <f>S13/C13</f>
        <v>2.564102564102564E-2</v>
      </c>
      <c r="T14" s="146">
        <f>T13/D13</f>
        <v>3.6939313984168866E-2</v>
      </c>
      <c r="U14" s="154">
        <f>U13/C13</f>
        <v>0</v>
      </c>
      <c r="V14" s="146">
        <f>V13/D13</f>
        <v>3.9577836411609502E-2</v>
      </c>
      <c r="W14" s="154">
        <f>W13/C13</f>
        <v>0</v>
      </c>
      <c r="X14" s="147">
        <f>X13/D13</f>
        <v>2.5065963060686015E-2</v>
      </c>
      <c r="Y14" s="154">
        <f>Y13/C13</f>
        <v>0</v>
      </c>
      <c r="Z14" s="146">
        <f>Z13/D13</f>
        <v>5.2770448548812663E-3</v>
      </c>
      <c r="AA14" s="154">
        <f>AA13/C13</f>
        <v>2.564102564102564E-2</v>
      </c>
      <c r="AB14" s="146">
        <f>AB13/D13</f>
        <v>1.3192612137203167E-2</v>
      </c>
    </row>
    <row r="15" spans="1:28" ht="24" customHeight="1" x14ac:dyDescent="0.45">
      <c r="A15" s="332"/>
      <c r="B15" s="320" t="s">
        <v>134</v>
      </c>
      <c r="C15" s="252">
        <v>355</v>
      </c>
      <c r="D15" s="251">
        <v>4963</v>
      </c>
      <c r="E15" s="249">
        <v>38</v>
      </c>
      <c r="F15" s="251">
        <v>436</v>
      </c>
      <c r="G15" s="252">
        <v>30</v>
      </c>
      <c r="H15" s="251">
        <v>353</v>
      </c>
      <c r="I15" s="252">
        <v>68</v>
      </c>
      <c r="J15" s="251">
        <v>958</v>
      </c>
      <c r="K15" s="252">
        <v>67</v>
      </c>
      <c r="L15" s="254">
        <v>973</v>
      </c>
      <c r="M15" s="156">
        <f>E15+G15+I15+K15</f>
        <v>203</v>
      </c>
      <c r="N15" s="141">
        <f>F15+H15+J15+L15</f>
        <v>2720</v>
      </c>
      <c r="O15" s="255">
        <v>49</v>
      </c>
      <c r="P15" s="251">
        <v>625</v>
      </c>
      <c r="Q15" s="252">
        <v>48</v>
      </c>
      <c r="R15" s="251">
        <v>851</v>
      </c>
      <c r="S15" s="252">
        <v>14</v>
      </c>
      <c r="T15" s="251">
        <v>182</v>
      </c>
      <c r="U15" s="252">
        <v>22</v>
      </c>
      <c r="V15" s="251">
        <v>241</v>
      </c>
      <c r="W15" s="252">
        <v>8</v>
      </c>
      <c r="X15" s="251">
        <v>117</v>
      </c>
      <c r="Y15" s="252">
        <v>3</v>
      </c>
      <c r="Z15" s="251">
        <v>55</v>
      </c>
      <c r="AA15" s="252">
        <v>8</v>
      </c>
      <c r="AB15" s="251">
        <v>172</v>
      </c>
    </row>
    <row r="16" spans="1:28" ht="24" customHeight="1" thickBot="1" x14ac:dyDescent="0.5">
      <c r="A16" s="332"/>
      <c r="B16" s="321"/>
      <c r="C16" s="153">
        <f>C15/$C$4</f>
        <v>0.12710347296813462</v>
      </c>
      <c r="D16" s="142">
        <f>D15/$D$4</f>
        <v>0.124075</v>
      </c>
      <c r="E16" s="154">
        <f>E15/C15</f>
        <v>0.10704225352112676</v>
      </c>
      <c r="F16" s="146">
        <f t="shared" ref="F16" si="14">F15/D15</f>
        <v>8.7850090670965136E-2</v>
      </c>
      <c r="G16" s="154">
        <f t="shared" ref="G16" si="15">G15/C15</f>
        <v>8.4507042253521125E-2</v>
      </c>
      <c r="H16" s="146">
        <f t="shared" ref="H16" si="16">H15/D15</f>
        <v>7.1126334878097927E-2</v>
      </c>
      <c r="I16" s="154">
        <f>I15/C15</f>
        <v>0.19154929577464788</v>
      </c>
      <c r="J16" s="147">
        <f t="shared" ref="J16" si="17">J15/D15</f>
        <v>0.19302841023574452</v>
      </c>
      <c r="K16" s="154">
        <f t="shared" ref="K16" si="18">K15/C15</f>
        <v>0.18873239436619718</v>
      </c>
      <c r="L16" s="148">
        <f t="shared" ref="L16" si="19">L15/D15</f>
        <v>0.19605077574047955</v>
      </c>
      <c r="M16" s="158">
        <f>M15/C15</f>
        <v>0.57183098591549297</v>
      </c>
      <c r="N16" s="149">
        <f>N15/D15</f>
        <v>0.54805561152528715</v>
      </c>
      <c r="O16" s="160">
        <f>O15/C15</f>
        <v>0.13802816901408452</v>
      </c>
      <c r="P16" s="146">
        <f>P15/D15</f>
        <v>0.12593189603062663</v>
      </c>
      <c r="Q16" s="154">
        <f>Q15/C15</f>
        <v>0.13521126760563379</v>
      </c>
      <c r="R16" s="147">
        <f>R15/D15</f>
        <v>0.17146886963530122</v>
      </c>
      <c r="S16" s="154">
        <f>S15/C15</f>
        <v>3.9436619718309862E-2</v>
      </c>
      <c r="T16" s="146">
        <f>T15/D15</f>
        <v>3.6671368124118475E-2</v>
      </c>
      <c r="U16" s="154">
        <f>U15/C15</f>
        <v>6.1971830985915494E-2</v>
      </c>
      <c r="V16" s="146">
        <f>V15/D15</f>
        <v>4.8559339109409634E-2</v>
      </c>
      <c r="W16" s="154">
        <f>W15/C15</f>
        <v>2.2535211267605635E-2</v>
      </c>
      <c r="X16" s="147">
        <f>X15/D15</f>
        <v>2.3574450936933306E-2</v>
      </c>
      <c r="Y16" s="154">
        <f>Y15/C15</f>
        <v>8.4507042253521118E-3</v>
      </c>
      <c r="Z16" s="146">
        <f>Z15/D15</f>
        <v>1.1082006850695145E-2</v>
      </c>
      <c r="AA16" s="154">
        <f>AA15/C15</f>
        <v>2.2535211267605635E-2</v>
      </c>
      <c r="AB16" s="146">
        <f>AB15/D15</f>
        <v>3.465645778762845E-2</v>
      </c>
    </row>
    <row r="17" spans="1:28" ht="24" customHeight="1" x14ac:dyDescent="0.45">
      <c r="A17" s="332"/>
      <c r="B17" s="320" t="s">
        <v>135</v>
      </c>
      <c r="C17" s="252">
        <v>680</v>
      </c>
      <c r="D17" s="251">
        <v>9793</v>
      </c>
      <c r="E17" s="249">
        <v>22</v>
      </c>
      <c r="F17" s="251">
        <v>405</v>
      </c>
      <c r="G17" s="252">
        <v>24</v>
      </c>
      <c r="H17" s="251">
        <v>400</v>
      </c>
      <c r="I17" s="252">
        <v>94</v>
      </c>
      <c r="J17" s="251">
        <v>1371</v>
      </c>
      <c r="K17" s="252">
        <v>131</v>
      </c>
      <c r="L17" s="254">
        <v>1795</v>
      </c>
      <c r="M17" s="156">
        <f>E17+G17+I17+K17</f>
        <v>271</v>
      </c>
      <c r="N17" s="141">
        <f>F17+H17+J17+L17</f>
        <v>3971</v>
      </c>
      <c r="O17" s="255">
        <v>117</v>
      </c>
      <c r="P17" s="251">
        <v>1387</v>
      </c>
      <c r="Q17" s="252">
        <v>149</v>
      </c>
      <c r="R17" s="251">
        <v>2056</v>
      </c>
      <c r="S17" s="252">
        <v>36</v>
      </c>
      <c r="T17" s="251">
        <v>621</v>
      </c>
      <c r="U17" s="252">
        <v>43</v>
      </c>
      <c r="V17" s="251">
        <v>680</v>
      </c>
      <c r="W17" s="252">
        <v>21</v>
      </c>
      <c r="X17" s="251">
        <v>382</v>
      </c>
      <c r="Y17" s="252">
        <v>13</v>
      </c>
      <c r="Z17" s="251">
        <v>264</v>
      </c>
      <c r="AA17" s="252">
        <v>30</v>
      </c>
      <c r="AB17" s="251">
        <v>432</v>
      </c>
    </row>
    <row r="18" spans="1:28" ht="24" customHeight="1" thickBot="1" x14ac:dyDescent="0.5">
      <c r="A18" s="332"/>
      <c r="B18" s="321"/>
      <c r="C18" s="153">
        <f>C17/$C$4</f>
        <v>0.24346580737558182</v>
      </c>
      <c r="D18" s="142">
        <f>D17/$D$4</f>
        <v>0.24482499999999999</v>
      </c>
      <c r="E18" s="154">
        <f t="shared" ref="E18" si="20">E17/C17</f>
        <v>3.2352941176470591E-2</v>
      </c>
      <c r="F18" s="146">
        <f t="shared" ref="F18" si="21">F17/D17</f>
        <v>4.1356070662718271E-2</v>
      </c>
      <c r="G18" s="154">
        <f t="shared" ref="G18" si="22">G17/C17</f>
        <v>3.5294117647058823E-2</v>
      </c>
      <c r="H18" s="146">
        <f t="shared" ref="H18" si="23">H17/D17</f>
        <v>4.0845501889104463E-2</v>
      </c>
      <c r="I18" s="154">
        <f t="shared" ref="I18" si="24">I17/C17</f>
        <v>0.13823529411764707</v>
      </c>
      <c r="J18" s="147">
        <f t="shared" ref="J18" si="25">J17/D17</f>
        <v>0.13999795772490556</v>
      </c>
      <c r="K18" s="154">
        <f t="shared" ref="K18" si="26">K17/C17</f>
        <v>0.19264705882352942</v>
      </c>
      <c r="L18" s="148">
        <f t="shared" ref="L18" si="27">L17/D17</f>
        <v>0.18329418972735628</v>
      </c>
      <c r="M18" s="158">
        <f>M17/C17</f>
        <v>0.39852941176470591</v>
      </c>
      <c r="N18" s="149">
        <f>N17/D17</f>
        <v>0.40549372000408457</v>
      </c>
      <c r="O18" s="160">
        <f>O17/C17</f>
        <v>0.17205882352941176</v>
      </c>
      <c r="P18" s="146">
        <f>P17/D17</f>
        <v>0.14163177780046973</v>
      </c>
      <c r="Q18" s="154">
        <f>Q17/C17</f>
        <v>0.21911764705882353</v>
      </c>
      <c r="R18" s="147">
        <f>R17/D17</f>
        <v>0.20994587970999692</v>
      </c>
      <c r="S18" s="154">
        <f>S17/C17</f>
        <v>5.2941176470588235E-2</v>
      </c>
      <c r="T18" s="146">
        <f>T17/D17</f>
        <v>6.3412641682834683E-2</v>
      </c>
      <c r="U18" s="154">
        <f>U17/C17</f>
        <v>6.3235294117647056E-2</v>
      </c>
      <c r="V18" s="146">
        <f>V17/D17</f>
        <v>6.9437353211477593E-2</v>
      </c>
      <c r="W18" s="154">
        <f>W17/C17</f>
        <v>3.0882352941176472E-2</v>
      </c>
      <c r="X18" s="147">
        <f>X17/D17</f>
        <v>3.900745430409476E-2</v>
      </c>
      <c r="Y18" s="154">
        <f>Y17/C17</f>
        <v>1.9117647058823531E-2</v>
      </c>
      <c r="Z18" s="146">
        <f>Z17/D17</f>
        <v>2.6958031246808945E-2</v>
      </c>
      <c r="AA18" s="154">
        <f>AA17/C17</f>
        <v>4.4117647058823532E-2</v>
      </c>
      <c r="AB18" s="146">
        <f>AB17/D17</f>
        <v>4.4113142040232818E-2</v>
      </c>
    </row>
    <row r="19" spans="1:28" ht="24" customHeight="1" x14ac:dyDescent="0.45">
      <c r="A19" s="332"/>
      <c r="B19" s="320" t="s">
        <v>136</v>
      </c>
      <c r="C19" s="252">
        <v>4</v>
      </c>
      <c r="D19" s="251">
        <v>118</v>
      </c>
      <c r="E19" s="249">
        <v>0</v>
      </c>
      <c r="F19" s="251">
        <v>7</v>
      </c>
      <c r="G19" s="252">
        <v>0</v>
      </c>
      <c r="H19" s="251">
        <v>10</v>
      </c>
      <c r="I19" s="252">
        <v>1</v>
      </c>
      <c r="J19" s="251">
        <v>25</v>
      </c>
      <c r="K19" s="252">
        <v>1</v>
      </c>
      <c r="L19" s="254">
        <v>30</v>
      </c>
      <c r="M19" s="156">
        <f>E19+G19+I19+K19</f>
        <v>2</v>
      </c>
      <c r="N19" s="141">
        <f>F19+H19+J19+L19</f>
        <v>72</v>
      </c>
      <c r="O19" s="255">
        <v>0</v>
      </c>
      <c r="P19" s="251">
        <v>15</v>
      </c>
      <c r="Q19" s="252">
        <v>0</v>
      </c>
      <c r="R19" s="251">
        <v>11</v>
      </c>
      <c r="S19" s="252">
        <v>1</v>
      </c>
      <c r="T19" s="251">
        <v>4</v>
      </c>
      <c r="U19" s="252">
        <v>1</v>
      </c>
      <c r="V19" s="251">
        <v>6</v>
      </c>
      <c r="W19" s="252">
        <v>0</v>
      </c>
      <c r="X19" s="251">
        <v>3</v>
      </c>
      <c r="Y19" s="252">
        <v>0</v>
      </c>
      <c r="Z19" s="251">
        <v>2</v>
      </c>
      <c r="AA19" s="252">
        <v>0</v>
      </c>
      <c r="AB19" s="251">
        <v>5</v>
      </c>
    </row>
    <row r="20" spans="1:28" ht="24" customHeight="1" thickBot="1" x14ac:dyDescent="0.5">
      <c r="A20" s="333"/>
      <c r="B20" s="321"/>
      <c r="C20" s="153">
        <f>C19/$C$4</f>
        <v>1.4321518080916578E-3</v>
      </c>
      <c r="D20" s="142">
        <f>D19/$D$4</f>
        <v>2.9499999999999999E-3</v>
      </c>
      <c r="E20" s="154">
        <f t="shared" ref="E20" si="28">E19/C19</f>
        <v>0</v>
      </c>
      <c r="F20" s="146">
        <f t="shared" ref="F20" si="29">F19/D19</f>
        <v>5.9322033898305086E-2</v>
      </c>
      <c r="G20" s="154">
        <f t="shared" ref="G20" si="30">G19/C19</f>
        <v>0</v>
      </c>
      <c r="H20" s="146">
        <f t="shared" ref="H20" si="31">H19/D19</f>
        <v>8.4745762711864403E-2</v>
      </c>
      <c r="I20" s="154">
        <f t="shared" ref="I20" si="32">I19/C19</f>
        <v>0.25</v>
      </c>
      <c r="J20" s="147">
        <f t="shared" ref="J20" si="33">J19/D19</f>
        <v>0.21186440677966101</v>
      </c>
      <c r="K20" s="154">
        <f t="shared" ref="K20" si="34">K19/C19</f>
        <v>0.25</v>
      </c>
      <c r="L20" s="148">
        <f t="shared" ref="L20" si="35">L19/D19</f>
        <v>0.25423728813559321</v>
      </c>
      <c r="M20" s="158">
        <f>M19/C19</f>
        <v>0.5</v>
      </c>
      <c r="N20" s="149">
        <f>N19/D19</f>
        <v>0.61016949152542377</v>
      </c>
      <c r="O20" s="160">
        <f>O19/C19</f>
        <v>0</v>
      </c>
      <c r="P20" s="146">
        <f>P19/D19</f>
        <v>0.1271186440677966</v>
      </c>
      <c r="Q20" s="154">
        <f>Q19/C19</f>
        <v>0</v>
      </c>
      <c r="R20" s="147">
        <f>R19/D19</f>
        <v>9.3220338983050849E-2</v>
      </c>
      <c r="S20" s="154">
        <f>S19/C19</f>
        <v>0.25</v>
      </c>
      <c r="T20" s="146">
        <f>T19/D19</f>
        <v>3.3898305084745763E-2</v>
      </c>
      <c r="U20" s="154">
        <f>U19/C19</f>
        <v>0.25</v>
      </c>
      <c r="V20" s="146">
        <f>V19/D19</f>
        <v>5.0847457627118647E-2</v>
      </c>
      <c r="W20" s="154">
        <f>W19/C19</f>
        <v>0</v>
      </c>
      <c r="X20" s="147">
        <f>X19/D19</f>
        <v>2.5423728813559324E-2</v>
      </c>
      <c r="Y20" s="154">
        <f>Y19/C19</f>
        <v>0</v>
      </c>
      <c r="Z20" s="146">
        <f>Z19/D19</f>
        <v>1.6949152542372881E-2</v>
      </c>
      <c r="AA20" s="154">
        <f>AA19/C19</f>
        <v>0</v>
      </c>
      <c r="AB20" s="146">
        <f>AB19/D19</f>
        <v>4.2372881355932202E-2</v>
      </c>
    </row>
    <row r="21" spans="1:28" ht="24" customHeight="1" x14ac:dyDescent="0.45">
      <c r="A21" s="333"/>
      <c r="B21" s="320" t="s">
        <v>137</v>
      </c>
      <c r="C21" s="256">
        <v>667</v>
      </c>
      <c r="D21" s="257">
        <v>8602</v>
      </c>
      <c r="E21" s="249">
        <v>34</v>
      </c>
      <c r="F21" s="251">
        <v>435</v>
      </c>
      <c r="G21" s="252">
        <v>20</v>
      </c>
      <c r="H21" s="251">
        <v>262</v>
      </c>
      <c r="I21" s="252">
        <v>81</v>
      </c>
      <c r="J21" s="251">
        <v>933</v>
      </c>
      <c r="K21" s="252">
        <v>126</v>
      </c>
      <c r="L21" s="254">
        <v>1297</v>
      </c>
      <c r="M21" s="156">
        <f>E21+G21+I21+K21</f>
        <v>261</v>
      </c>
      <c r="N21" s="141">
        <f>F21+H21+J21+L21</f>
        <v>2927</v>
      </c>
      <c r="O21" s="255">
        <v>80</v>
      </c>
      <c r="P21" s="251">
        <v>1069</v>
      </c>
      <c r="Q21" s="252">
        <v>147</v>
      </c>
      <c r="R21" s="251">
        <v>2024</v>
      </c>
      <c r="S21" s="252">
        <v>31</v>
      </c>
      <c r="T21" s="251">
        <v>512</v>
      </c>
      <c r="U21" s="252">
        <v>38</v>
      </c>
      <c r="V21" s="251">
        <v>592</v>
      </c>
      <c r="W21" s="252">
        <v>22</v>
      </c>
      <c r="X21" s="251">
        <v>325</v>
      </c>
      <c r="Y21" s="252">
        <v>23</v>
      </c>
      <c r="Z21" s="251">
        <v>255</v>
      </c>
      <c r="AA21" s="252">
        <v>65</v>
      </c>
      <c r="AB21" s="251">
        <v>898</v>
      </c>
    </row>
    <row r="22" spans="1:28" ht="24" customHeight="1" thickBot="1" x14ac:dyDescent="0.5">
      <c r="A22" s="334"/>
      <c r="B22" s="321"/>
      <c r="C22" s="153">
        <f>C21/$C$4</f>
        <v>0.23881131399928393</v>
      </c>
      <c r="D22" s="142">
        <f>D21/$D$4</f>
        <v>0.21504999999999999</v>
      </c>
      <c r="E22" s="154">
        <f t="shared" ref="E22:F22" si="36">E21/C21</f>
        <v>5.0974512743628186E-2</v>
      </c>
      <c r="F22" s="146">
        <f t="shared" si="36"/>
        <v>5.056963496861195E-2</v>
      </c>
      <c r="G22" s="154">
        <f t="shared" ref="G22:H22" si="37">G21/C21</f>
        <v>2.9985007496251874E-2</v>
      </c>
      <c r="H22" s="146">
        <f t="shared" si="37"/>
        <v>3.0458033015577774E-2</v>
      </c>
      <c r="I22" s="154">
        <f t="shared" ref="I22:J22" si="38">I21/C21</f>
        <v>0.12143928035982009</v>
      </c>
      <c r="J22" s="147">
        <f t="shared" si="38"/>
        <v>0.10846314810509183</v>
      </c>
      <c r="K22" s="154">
        <f t="shared" ref="K22:L22" si="39">K21/C21</f>
        <v>0.18890554722638681</v>
      </c>
      <c r="L22" s="148">
        <f t="shared" si="39"/>
        <v>0.15077888863055103</v>
      </c>
      <c r="M22" s="158">
        <f>M21/C21</f>
        <v>0.39130434782608697</v>
      </c>
      <c r="N22" s="149">
        <f>N21/D21</f>
        <v>0.34026970471983259</v>
      </c>
      <c r="O22" s="160">
        <f>O21/C21</f>
        <v>0.1199400299850075</v>
      </c>
      <c r="P22" s="146">
        <f>P21/D21</f>
        <v>0.12427342478493374</v>
      </c>
      <c r="Q22" s="154">
        <f>Q21/C21</f>
        <v>0.22038980509745126</v>
      </c>
      <c r="R22" s="147">
        <f>R21/D21</f>
        <v>0.23529411764705882</v>
      </c>
      <c r="S22" s="154">
        <f>S21/C21</f>
        <v>4.6476761619190406E-2</v>
      </c>
      <c r="T22" s="146">
        <f>T21/D21</f>
        <v>5.9521041618228319E-2</v>
      </c>
      <c r="U22" s="154">
        <f>U21/C21</f>
        <v>5.6971514242878558E-2</v>
      </c>
      <c r="V22" s="146">
        <f>V21/D21</f>
        <v>6.88212043710765E-2</v>
      </c>
      <c r="W22" s="154">
        <f>W21/C21</f>
        <v>3.2983508245877063E-2</v>
      </c>
      <c r="X22" s="147">
        <f>X21/D21</f>
        <v>3.7781911183445711E-2</v>
      </c>
      <c r="Y22" s="154">
        <f>Y21/C21</f>
        <v>3.4482758620689655E-2</v>
      </c>
      <c r="Z22" s="146">
        <f>Z21/D21</f>
        <v>2.9644268774703556E-2</v>
      </c>
      <c r="AA22" s="154">
        <f>AA21/C21</f>
        <v>9.7451274362818585E-2</v>
      </c>
      <c r="AB22" s="146">
        <f>AB21/D21</f>
        <v>0.10439432690072076</v>
      </c>
    </row>
    <row r="23" spans="1:28" ht="23.4" x14ac:dyDescent="0.45">
      <c r="B23" s="259" t="s">
        <v>140</v>
      </c>
      <c r="C23" s="150"/>
      <c r="D23" s="150"/>
      <c r="E23" s="151"/>
      <c r="F23" s="151"/>
      <c r="G23" s="151"/>
      <c r="H23" s="151"/>
      <c r="I23" s="151"/>
      <c r="J23" s="151"/>
      <c r="K23" s="151"/>
      <c r="L23" s="151"/>
      <c r="M23" s="152"/>
      <c r="N23" s="152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</row>
    <row r="24" spans="1:28" ht="21" x14ac:dyDescent="0.45">
      <c r="B24" s="106" t="s">
        <v>205</v>
      </c>
      <c r="C24" s="150"/>
      <c r="D24" s="150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1:28" ht="21" x14ac:dyDescent="0.45">
      <c r="B25" s="106" t="s">
        <v>142</v>
      </c>
      <c r="C25" s="150"/>
      <c r="D25" s="150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1:28" ht="21" x14ac:dyDescent="0.45">
      <c r="B26" s="106" t="s">
        <v>143</v>
      </c>
      <c r="C26" s="150"/>
      <c r="D26" s="150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45">
      <c r="B27" s="135"/>
      <c r="C27" s="150"/>
      <c r="D27" s="15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ht="23.4" x14ac:dyDescent="0.45">
      <c r="B28" s="259" t="s">
        <v>144</v>
      </c>
      <c r="C28" s="150"/>
      <c r="D28" s="150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ht="21" x14ac:dyDescent="0.45">
      <c r="B29" s="106" t="s">
        <v>145</v>
      </c>
      <c r="C29" s="150"/>
      <c r="D29" s="150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ht="21" x14ac:dyDescent="0.45">
      <c r="B30" s="106" t="s">
        <v>146</v>
      </c>
      <c r="C30" s="150"/>
      <c r="D30" s="150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ht="78" customHeight="1" x14ac:dyDescent="0.45">
      <c r="B31" s="325" t="s">
        <v>210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</row>
    <row r="32" spans="1:28" ht="21" x14ac:dyDescent="0.45">
      <c r="B32" s="261"/>
      <c r="C32" s="150" t="s">
        <v>208</v>
      </c>
      <c r="D32" s="15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2:28" ht="21" x14ac:dyDescent="0.45">
      <c r="B33" s="261"/>
      <c r="C33" s="150" t="s">
        <v>208</v>
      </c>
      <c r="D33" s="150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2:28" x14ac:dyDescent="0.45">
      <c r="B34" s="135"/>
      <c r="C34" s="150" t="s">
        <v>209</v>
      </c>
      <c r="D34" s="150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2:28" x14ac:dyDescent="0.45">
      <c r="B35" s="135"/>
      <c r="C35" s="150" t="s">
        <v>209</v>
      </c>
      <c r="D35" s="150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2:28" x14ac:dyDescent="0.45">
      <c r="B36" s="135"/>
      <c r="C36" s="150"/>
      <c r="D36" s="150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2:28" x14ac:dyDescent="0.45">
      <c r="B37" s="135"/>
      <c r="C37" s="150"/>
      <c r="D37" s="15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</row>
  </sheetData>
  <mergeCells count="26">
    <mergeCell ref="B31:AB31"/>
    <mergeCell ref="B21:B22"/>
    <mergeCell ref="AA2:AB2"/>
    <mergeCell ref="A4:B4"/>
    <mergeCell ref="A5:A6"/>
    <mergeCell ref="A7:A22"/>
    <mergeCell ref="B7:B8"/>
    <mergeCell ref="B9:B10"/>
    <mergeCell ref="B11:B12"/>
    <mergeCell ref="B13:B14"/>
    <mergeCell ref="B15:B16"/>
    <mergeCell ref="B17:B18"/>
    <mergeCell ref="A2:B3"/>
    <mergeCell ref="C2:D2"/>
    <mergeCell ref="E2:F2"/>
    <mergeCell ref="U2:V2"/>
    <mergeCell ref="W2:X2"/>
    <mergeCell ref="Y2:Z2"/>
    <mergeCell ref="B19:B20"/>
    <mergeCell ref="G2:H2"/>
    <mergeCell ref="I2:J2"/>
    <mergeCell ref="K2:L2"/>
    <mergeCell ref="O2:P2"/>
    <mergeCell ref="Q2:R2"/>
    <mergeCell ref="S2:T2"/>
    <mergeCell ref="M2:N2"/>
  </mergeCells>
  <phoneticPr fontId="2"/>
  <pageMargins left="0.25" right="0.25" top="0.75" bottom="0.75" header="0.3" footer="0.3"/>
  <pageSetup paperSize="9" scale="34" orientation="landscape" r:id="rId1"/>
  <ignoredErrors>
    <ignoredError sqref="M8:N8 M10:N10 M12:N12 M14:N14 M16:N16 M18:N18 M20:N2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F7C5-538F-4CEC-9A76-C77FBEDEBAA8}">
  <dimension ref="A1:P34"/>
  <sheetViews>
    <sheetView showGridLines="0" view="pageBreakPreview" zoomScale="70" zoomScaleNormal="85" zoomScaleSheetLayoutView="70" workbookViewId="0">
      <selection activeCell="U7" sqref="U7"/>
    </sheetView>
  </sheetViews>
  <sheetFormatPr defaultRowHeight="14.4" x14ac:dyDescent="0.45"/>
  <cols>
    <col min="1" max="16384" width="8.796875" style="89"/>
  </cols>
  <sheetData>
    <row r="1" spans="1:16" ht="35.4" customHeight="1" x14ac:dyDescent="0.45">
      <c r="A1" s="344" t="s">
        <v>206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 ht="17.399999999999999" customHeight="1" x14ac:dyDescent="0.45"/>
    <row r="3" spans="1:16" ht="17.399999999999999" customHeight="1" x14ac:dyDescent="0.45"/>
    <row r="4" spans="1:16" ht="17.399999999999999" customHeight="1" x14ac:dyDescent="0.45"/>
    <row r="5" spans="1:16" ht="17.399999999999999" customHeight="1" x14ac:dyDescent="0.45"/>
    <row r="6" spans="1:16" ht="17.399999999999999" customHeight="1" x14ac:dyDescent="0.45"/>
    <row r="7" spans="1:16" ht="17.399999999999999" customHeight="1" x14ac:dyDescent="0.45"/>
    <row r="8" spans="1:16" ht="17.399999999999999" customHeight="1" x14ac:dyDescent="0.45"/>
    <row r="9" spans="1:16" ht="17.399999999999999" customHeight="1" x14ac:dyDescent="0.45"/>
    <row r="10" spans="1:16" ht="17.399999999999999" customHeight="1" x14ac:dyDescent="0.45"/>
    <row r="11" spans="1:16" ht="17.399999999999999" customHeight="1" x14ac:dyDescent="0.45"/>
    <row r="12" spans="1:16" ht="17.399999999999999" customHeight="1" x14ac:dyDescent="0.45"/>
    <row r="13" spans="1:16" ht="17.399999999999999" customHeight="1" x14ac:dyDescent="0.45"/>
    <row r="14" spans="1:16" ht="17.399999999999999" customHeight="1" x14ac:dyDescent="0.45"/>
    <row r="15" spans="1:16" ht="17.399999999999999" customHeight="1" x14ac:dyDescent="0.45"/>
    <row r="16" spans="1:16" ht="17.399999999999999" customHeight="1" x14ac:dyDescent="0.45"/>
    <row r="17" spans="4:4" ht="17.399999999999999" customHeight="1" x14ac:dyDescent="0.45"/>
    <row r="18" spans="4:4" ht="17.399999999999999" customHeight="1" x14ac:dyDescent="0.45"/>
    <row r="19" spans="4:4" ht="17.399999999999999" customHeight="1" x14ac:dyDescent="0.45"/>
    <row r="20" spans="4:4" ht="17.399999999999999" customHeight="1" x14ac:dyDescent="0.45"/>
    <row r="21" spans="4:4" ht="17.399999999999999" customHeight="1" x14ac:dyDescent="0.45"/>
    <row r="22" spans="4:4" ht="17.399999999999999" customHeight="1" x14ac:dyDescent="0.45"/>
    <row r="23" spans="4:4" ht="17.399999999999999" customHeight="1" x14ac:dyDescent="0.45"/>
    <row r="24" spans="4:4" ht="17.399999999999999" customHeight="1" x14ac:dyDescent="0.45"/>
    <row r="25" spans="4:4" ht="17.399999999999999" customHeight="1" x14ac:dyDescent="0.45"/>
    <row r="26" spans="4:4" ht="17.399999999999999" customHeight="1" x14ac:dyDescent="0.45"/>
    <row r="27" spans="4:4" ht="17.399999999999999" customHeight="1" x14ac:dyDescent="0.45"/>
    <row r="28" spans="4:4" ht="17.399999999999999" customHeight="1" x14ac:dyDescent="0.45"/>
    <row r="29" spans="4:4" ht="17.399999999999999" customHeight="1" x14ac:dyDescent="0.45"/>
    <row r="30" spans="4:4" ht="17.399999999999999" customHeight="1" x14ac:dyDescent="0.45"/>
    <row r="31" spans="4:4" ht="17.399999999999999" customHeight="1" x14ac:dyDescent="0.45">
      <c r="D31" s="134"/>
    </row>
    <row r="34" spans="4:4" x14ac:dyDescent="0.45">
      <c r="D34" s="134"/>
    </row>
  </sheetData>
  <mergeCells count="1">
    <mergeCell ref="A1:P1"/>
  </mergeCells>
  <phoneticPr fontId="2"/>
  <pageMargins left="0.7" right="0.7" top="0.75" bottom="0.75" header="0.3" footer="0.3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0EA9-3AB2-4FFB-A6E6-0535B27D4737}">
  <sheetPr>
    <pageSetUpPr fitToPage="1"/>
  </sheetPr>
  <dimension ref="A1:P66"/>
  <sheetViews>
    <sheetView view="pageBreakPreview" zoomScaleNormal="80" zoomScaleSheetLayoutView="100" workbookViewId="0">
      <selection activeCell="C21" sqref="C21"/>
    </sheetView>
  </sheetViews>
  <sheetFormatPr defaultRowHeight="18" x14ac:dyDescent="0.45"/>
  <cols>
    <col min="2" max="2" width="21" customWidth="1"/>
    <col min="3" max="4" width="11.59765625" style="18" customWidth="1"/>
    <col min="5" max="14" width="11.59765625" customWidth="1"/>
    <col min="15" max="16" width="7.8984375" customWidth="1"/>
  </cols>
  <sheetData>
    <row r="1" spans="1:14" ht="25.2" customHeight="1" thickBot="1" x14ac:dyDescent="0.5"/>
    <row r="2" spans="1:14" s="19" customFormat="1" ht="34.799999999999997" customHeight="1" thickBot="1" x14ac:dyDescent="0.5">
      <c r="A2" s="357" t="s">
        <v>123</v>
      </c>
      <c r="B2" s="358"/>
      <c r="C2" s="361"/>
      <c r="D2" s="362"/>
      <c r="E2" s="345" t="s">
        <v>124</v>
      </c>
      <c r="F2" s="346"/>
      <c r="G2" s="345" t="s">
        <v>125</v>
      </c>
      <c r="H2" s="346"/>
      <c r="I2" s="345" t="s">
        <v>126</v>
      </c>
      <c r="J2" s="346"/>
      <c r="K2" s="345" t="s">
        <v>127</v>
      </c>
      <c r="L2" s="346"/>
      <c r="M2" s="345" t="s">
        <v>128</v>
      </c>
      <c r="N2" s="346"/>
    </row>
    <row r="3" spans="1:14" ht="42.6" customHeight="1" thickBot="1" x14ac:dyDescent="0.5">
      <c r="A3" s="359"/>
      <c r="B3" s="360"/>
      <c r="C3" s="20" t="s">
        <v>4</v>
      </c>
      <c r="D3" s="21" t="s">
        <v>0</v>
      </c>
      <c r="E3" s="22" t="s">
        <v>4</v>
      </c>
      <c r="F3" s="21" t="s">
        <v>0</v>
      </c>
      <c r="G3" s="22" t="s">
        <v>4</v>
      </c>
      <c r="H3" s="21" t="s">
        <v>0</v>
      </c>
      <c r="I3" s="22" t="s">
        <v>4</v>
      </c>
      <c r="J3" s="23" t="s">
        <v>0</v>
      </c>
      <c r="K3" s="22" t="s">
        <v>4</v>
      </c>
      <c r="L3" s="21" t="s">
        <v>0</v>
      </c>
      <c r="M3" s="22" t="s">
        <v>4</v>
      </c>
      <c r="N3" s="21" t="s">
        <v>0</v>
      </c>
    </row>
    <row r="4" spans="1:14" ht="24" customHeight="1" thickBot="1" x14ac:dyDescent="0.5">
      <c r="A4" s="345" t="s">
        <v>0</v>
      </c>
      <c r="B4" s="346"/>
      <c r="C4" s="24">
        <v>2830</v>
      </c>
      <c r="D4" s="25">
        <v>40000</v>
      </c>
      <c r="E4" s="24">
        <f>375</f>
        <v>375</v>
      </c>
      <c r="F4" s="25">
        <f>5574</f>
        <v>5574</v>
      </c>
      <c r="G4" s="24">
        <f>1598</f>
        <v>1598</v>
      </c>
      <c r="H4" s="25">
        <f>22338</f>
        <v>22338</v>
      </c>
      <c r="I4" s="24">
        <f>1973</f>
        <v>1973</v>
      </c>
      <c r="J4" s="26">
        <f>27912</f>
        <v>27912</v>
      </c>
      <c r="K4" s="24">
        <f>639</f>
        <v>639</v>
      </c>
      <c r="L4" s="25">
        <f>9135</f>
        <v>9135</v>
      </c>
      <c r="M4" s="24">
        <f>218</f>
        <v>218</v>
      </c>
      <c r="N4" s="25">
        <f>2953</f>
        <v>2953</v>
      </c>
    </row>
    <row r="5" spans="1:14" ht="24" hidden="1" customHeight="1" x14ac:dyDescent="0.45">
      <c r="A5" s="347" t="s">
        <v>20</v>
      </c>
      <c r="B5" s="27" t="s">
        <v>1</v>
      </c>
      <c r="C5" s="28">
        <v>1365</v>
      </c>
      <c r="D5" s="29">
        <v>19919</v>
      </c>
      <c r="E5" s="30">
        <f>198/1365</f>
        <v>0.14505494505494507</v>
      </c>
      <c r="F5" s="31">
        <f>2998/19919</f>
        <v>0.15050956373311913</v>
      </c>
      <c r="G5" s="30">
        <f>737/1365</f>
        <v>0.5399267399267399</v>
      </c>
      <c r="H5" s="31">
        <f>10805/19919</f>
        <v>0.54244690998544098</v>
      </c>
      <c r="I5" s="30">
        <f>935/1365</f>
        <v>0.68498168498168499</v>
      </c>
      <c r="J5" s="32">
        <f>(2998+10805)/19919</f>
        <v>0.69295647371856017</v>
      </c>
      <c r="K5" s="30">
        <f>314/1365</f>
        <v>0.23003663003663002</v>
      </c>
      <c r="L5" s="31">
        <f>4556/19919</f>
        <v>0.22872634168381947</v>
      </c>
      <c r="M5" s="30">
        <f>116/1365</f>
        <v>8.4981684981684985E-2</v>
      </c>
      <c r="N5" s="31">
        <f>1560/19919</f>
        <v>7.8317184597620368E-2</v>
      </c>
    </row>
    <row r="6" spans="1:14" ht="24" hidden="1" customHeight="1" thickBot="1" x14ac:dyDescent="0.5">
      <c r="A6" s="348"/>
      <c r="B6" s="33" t="s">
        <v>2</v>
      </c>
      <c r="C6" s="34">
        <v>1465</v>
      </c>
      <c r="D6" s="35">
        <v>20061</v>
      </c>
      <c r="E6" s="36">
        <f>177/1465</f>
        <v>0.12081911262798635</v>
      </c>
      <c r="F6" s="37">
        <f>2573/20061</f>
        <v>0.12825881062758587</v>
      </c>
      <c r="G6" s="36">
        <f>861/1465</f>
        <v>0.58771331058020482</v>
      </c>
      <c r="H6" s="37">
        <f>11525/20061</f>
        <v>0.57449778176561483</v>
      </c>
      <c r="I6" s="36">
        <f>1038/1465</f>
        <v>0.7085324232081911</v>
      </c>
      <c r="J6" s="38">
        <f>14098/20061</f>
        <v>0.70275659239320076</v>
      </c>
      <c r="K6" s="36">
        <f>325/1465</f>
        <v>0.22184300341296928</v>
      </c>
      <c r="L6" s="37">
        <f>4574/20061</f>
        <v>0.22800458601266138</v>
      </c>
      <c r="M6" s="36">
        <f>102/1465</f>
        <v>6.9624573378839594E-2</v>
      </c>
      <c r="N6" s="37">
        <f>1389/20061</f>
        <v>6.9238821594137884E-2</v>
      </c>
    </row>
    <row r="7" spans="1:14" ht="24" customHeight="1" x14ac:dyDescent="0.45">
      <c r="A7" s="349" t="s">
        <v>129</v>
      </c>
      <c r="B7" s="354" t="s">
        <v>130</v>
      </c>
      <c r="C7" s="39">
        <v>200</v>
      </c>
      <c r="D7" s="40">
        <v>3428</v>
      </c>
      <c r="E7" s="39">
        <v>65</v>
      </c>
      <c r="F7" s="41">
        <v>1068</v>
      </c>
      <c r="G7" s="42">
        <v>108</v>
      </c>
      <c r="H7" s="41">
        <v>1888</v>
      </c>
      <c r="I7" s="43">
        <v>173</v>
      </c>
      <c r="J7" s="43">
        <v>2956</v>
      </c>
      <c r="K7" s="42">
        <v>23</v>
      </c>
      <c r="L7" s="41">
        <v>396</v>
      </c>
      <c r="M7" s="42">
        <v>4</v>
      </c>
      <c r="N7" s="41">
        <v>76</v>
      </c>
    </row>
    <row r="8" spans="1:14" ht="24" customHeight="1" thickBot="1" x14ac:dyDescent="0.5">
      <c r="A8" s="350"/>
      <c r="B8" s="355"/>
      <c r="C8" s="44">
        <f>200/2830</f>
        <v>7.0671378091872794E-2</v>
      </c>
      <c r="D8" s="45">
        <f>D7/40000</f>
        <v>8.5699999999999998E-2</v>
      </c>
      <c r="E8" s="44">
        <f>65/200</f>
        <v>0.32500000000000001</v>
      </c>
      <c r="F8" s="45">
        <v>0.312</v>
      </c>
      <c r="G8" s="44">
        <f>G7/200</f>
        <v>0.54</v>
      </c>
      <c r="H8" s="45">
        <v>0.55100000000000005</v>
      </c>
      <c r="I8" s="46">
        <f>I7/200</f>
        <v>0.86499999999999999</v>
      </c>
      <c r="J8" s="47">
        <v>0.86299999999999999</v>
      </c>
      <c r="K8" s="44">
        <f>K7/200</f>
        <v>0.115</v>
      </c>
      <c r="L8" s="45">
        <f>L7/3428</f>
        <v>0.11551925320886815</v>
      </c>
      <c r="M8" s="44">
        <f>M7/200</f>
        <v>0.02</v>
      </c>
      <c r="N8" s="45">
        <f>N7/3428</f>
        <v>2.2170361726954493E-2</v>
      </c>
    </row>
    <row r="9" spans="1:14" ht="24" customHeight="1" x14ac:dyDescent="0.45">
      <c r="A9" s="351"/>
      <c r="B9" s="354" t="s">
        <v>131</v>
      </c>
      <c r="C9" s="42">
        <v>1365</v>
      </c>
      <c r="D9" s="41">
        <v>19528</v>
      </c>
      <c r="E9" s="39">
        <v>187</v>
      </c>
      <c r="F9" s="41">
        <v>2777</v>
      </c>
      <c r="G9" s="42">
        <v>847</v>
      </c>
      <c r="H9" s="41">
        <v>12104</v>
      </c>
      <c r="I9" s="42">
        <v>1034</v>
      </c>
      <c r="J9" s="41">
        <f>(F9+H9)</f>
        <v>14881</v>
      </c>
      <c r="K9" s="42">
        <v>286</v>
      </c>
      <c r="L9" s="41">
        <v>3986</v>
      </c>
      <c r="M9" s="42">
        <v>45</v>
      </c>
      <c r="N9" s="41">
        <v>661</v>
      </c>
    </row>
    <row r="10" spans="1:14" ht="24" customHeight="1" thickBot="1" x14ac:dyDescent="0.5">
      <c r="A10" s="351"/>
      <c r="B10" s="356"/>
      <c r="C10" s="36">
        <f>C9/$C$4</f>
        <v>0.48233215547703179</v>
      </c>
      <c r="D10" s="37">
        <f>D9/$D$4</f>
        <v>0.48820000000000002</v>
      </c>
      <c r="E10" s="36">
        <f>E9/1365</f>
        <v>0.13699633699633701</v>
      </c>
      <c r="F10" s="37">
        <v>0.14199999999999999</v>
      </c>
      <c r="G10" s="36">
        <f>G9/1365</f>
        <v>0.62051282051282053</v>
      </c>
      <c r="H10" s="37">
        <v>0.62</v>
      </c>
      <c r="I10" s="36">
        <f>I9/1365</f>
        <v>0.75750915750915748</v>
      </c>
      <c r="J10" s="38">
        <v>0.76200000000000001</v>
      </c>
      <c r="K10" s="36">
        <f>K9/1365</f>
        <v>0.20952380952380953</v>
      </c>
      <c r="L10" s="37">
        <v>0.20399999999999999</v>
      </c>
      <c r="M10" s="36">
        <f>M9/1365</f>
        <v>3.2967032967032968E-2</v>
      </c>
      <c r="N10" s="37">
        <v>3.4000000000000002E-2</v>
      </c>
    </row>
    <row r="11" spans="1:14" ht="24" customHeight="1" x14ac:dyDescent="0.45">
      <c r="A11" s="351"/>
      <c r="B11" s="354" t="s">
        <v>132</v>
      </c>
      <c r="C11" s="42">
        <v>30</v>
      </c>
      <c r="D11" s="41">
        <v>343</v>
      </c>
      <c r="E11" s="39">
        <v>8</v>
      </c>
      <c r="F11" s="41">
        <v>81</v>
      </c>
      <c r="G11" s="42">
        <v>16</v>
      </c>
      <c r="H11" s="41">
        <v>188</v>
      </c>
      <c r="I11" s="42">
        <v>24</v>
      </c>
      <c r="J11" s="41">
        <f>(F11+H11)</f>
        <v>269</v>
      </c>
      <c r="K11" s="42">
        <v>4</v>
      </c>
      <c r="L11" s="41">
        <v>59</v>
      </c>
      <c r="M11" s="42">
        <v>2</v>
      </c>
      <c r="N11" s="41">
        <v>15</v>
      </c>
    </row>
    <row r="12" spans="1:14" ht="24" customHeight="1" thickBot="1" x14ac:dyDescent="0.5">
      <c r="A12" s="351"/>
      <c r="B12" s="355"/>
      <c r="C12" s="44">
        <f>C11/$C$4</f>
        <v>1.0600706713780919E-2</v>
      </c>
      <c r="D12" s="45">
        <f>D11/$D$4</f>
        <v>8.5749999999999993E-3</v>
      </c>
      <c r="E12" s="44">
        <f>E11/30</f>
        <v>0.26666666666666666</v>
      </c>
      <c r="F12" s="45">
        <v>0.23599999999999999</v>
      </c>
      <c r="G12" s="44">
        <f>G11/30</f>
        <v>0.53333333333333333</v>
      </c>
      <c r="H12" s="45">
        <v>0.54800000000000004</v>
      </c>
      <c r="I12" s="44">
        <f>I11/30</f>
        <v>0.8</v>
      </c>
      <c r="J12" s="48">
        <v>0.78400000000000003</v>
      </c>
      <c r="K12" s="44">
        <f>K11/30</f>
        <v>0.13333333333333333</v>
      </c>
      <c r="L12" s="45">
        <v>0.17199999999999999</v>
      </c>
      <c r="M12" s="44">
        <f>M11/30</f>
        <v>6.6666666666666666E-2</v>
      </c>
      <c r="N12" s="45">
        <v>4.3999999999999997E-2</v>
      </c>
    </row>
    <row r="13" spans="1:14" ht="24" customHeight="1" x14ac:dyDescent="0.45">
      <c r="A13" s="351"/>
      <c r="B13" s="354" t="s">
        <v>133</v>
      </c>
      <c r="C13" s="42">
        <v>12</v>
      </c>
      <c r="D13" s="41">
        <v>142</v>
      </c>
      <c r="E13" s="39">
        <v>4</v>
      </c>
      <c r="F13" s="41">
        <v>16</v>
      </c>
      <c r="G13" s="42">
        <v>4</v>
      </c>
      <c r="H13" s="41">
        <v>70</v>
      </c>
      <c r="I13" s="42">
        <v>8</v>
      </c>
      <c r="J13" s="41">
        <f>(F13+H13)</f>
        <v>86</v>
      </c>
      <c r="K13" s="42">
        <v>4</v>
      </c>
      <c r="L13" s="41">
        <v>43</v>
      </c>
      <c r="M13" s="42">
        <v>0</v>
      </c>
      <c r="N13" s="41">
        <v>13</v>
      </c>
    </row>
    <row r="14" spans="1:14" ht="24" customHeight="1" thickBot="1" x14ac:dyDescent="0.5">
      <c r="A14" s="351"/>
      <c r="B14" s="355"/>
      <c r="C14" s="44">
        <f>C13/$C$4</f>
        <v>4.2402826855123671E-3</v>
      </c>
      <c r="D14" s="45">
        <f>D13/$D$4</f>
        <v>3.5500000000000002E-3</v>
      </c>
      <c r="E14" s="44">
        <f>E13/12</f>
        <v>0.33333333333333331</v>
      </c>
      <c r="F14" s="45">
        <v>0.113</v>
      </c>
      <c r="G14" s="44">
        <f>G13/12</f>
        <v>0.33333333333333331</v>
      </c>
      <c r="H14" s="45">
        <v>0.49299999999999999</v>
      </c>
      <c r="I14" s="44">
        <f>I13/12</f>
        <v>0.66666666666666663</v>
      </c>
      <c r="J14" s="48">
        <v>0.60599999999999998</v>
      </c>
      <c r="K14" s="44">
        <f>K13/12</f>
        <v>0.33333333333333331</v>
      </c>
      <c r="L14" s="45">
        <v>0.30299999999999999</v>
      </c>
      <c r="M14" s="49">
        <v>0</v>
      </c>
      <c r="N14" s="45">
        <v>9.1999999999999998E-2</v>
      </c>
    </row>
    <row r="15" spans="1:14" ht="24" customHeight="1" x14ac:dyDescent="0.45">
      <c r="A15" s="351"/>
      <c r="B15" s="354" t="s">
        <v>134</v>
      </c>
      <c r="C15" s="42">
        <v>526</v>
      </c>
      <c r="D15" s="41">
        <v>7246</v>
      </c>
      <c r="E15" s="39">
        <v>67</v>
      </c>
      <c r="F15" s="41">
        <v>972</v>
      </c>
      <c r="G15" s="42">
        <v>296</v>
      </c>
      <c r="H15" s="41">
        <v>4006</v>
      </c>
      <c r="I15" s="42">
        <v>363</v>
      </c>
      <c r="J15" s="41">
        <f>(F15+H15)</f>
        <v>4978</v>
      </c>
      <c r="K15" s="42">
        <v>122</v>
      </c>
      <c r="L15" s="41">
        <v>1728</v>
      </c>
      <c r="M15" s="42">
        <v>41</v>
      </c>
      <c r="N15" s="41">
        <v>540</v>
      </c>
    </row>
    <row r="16" spans="1:14" ht="24" customHeight="1" thickBot="1" x14ac:dyDescent="0.5">
      <c r="A16" s="351"/>
      <c r="B16" s="355"/>
      <c r="C16" s="44">
        <f>C15/$C$4</f>
        <v>0.18586572438162544</v>
      </c>
      <c r="D16" s="45">
        <f>D15/$D$4</f>
        <v>0.18115000000000001</v>
      </c>
      <c r="E16" s="44">
        <f>E15/526</f>
        <v>0.12737642585551331</v>
      </c>
      <c r="F16" s="45">
        <v>0.13400000000000001</v>
      </c>
      <c r="G16" s="44">
        <f>G15/526</f>
        <v>0.56273764258555137</v>
      </c>
      <c r="H16" s="45">
        <v>0.55300000000000005</v>
      </c>
      <c r="I16" s="44">
        <f>I15/526</f>
        <v>0.6901140684410646</v>
      </c>
      <c r="J16" s="48">
        <v>0.68700000000000006</v>
      </c>
      <c r="K16" s="44">
        <f>K15/526</f>
        <v>0.23193916349809887</v>
      </c>
      <c r="L16" s="45">
        <v>0.23799999999999999</v>
      </c>
      <c r="M16" s="44">
        <f>M15/526</f>
        <v>7.7946768060836502E-2</v>
      </c>
      <c r="N16" s="45">
        <v>7.4999999999999997E-2</v>
      </c>
    </row>
    <row r="17" spans="1:16" ht="24" customHeight="1" x14ac:dyDescent="0.45">
      <c r="A17" s="351"/>
      <c r="B17" s="354" t="s">
        <v>135</v>
      </c>
      <c r="C17" s="42">
        <v>337</v>
      </c>
      <c r="D17" s="41">
        <v>4381</v>
      </c>
      <c r="E17" s="39">
        <v>23</v>
      </c>
      <c r="F17" s="41">
        <v>327</v>
      </c>
      <c r="G17" s="42">
        <v>181</v>
      </c>
      <c r="H17" s="41">
        <v>2146</v>
      </c>
      <c r="I17" s="42">
        <v>204</v>
      </c>
      <c r="J17" s="41">
        <f>(F17+H17)</f>
        <v>2473</v>
      </c>
      <c r="K17" s="42">
        <v>95</v>
      </c>
      <c r="L17" s="41">
        <v>1406</v>
      </c>
      <c r="M17" s="42">
        <v>38</v>
      </c>
      <c r="N17" s="41">
        <v>502</v>
      </c>
    </row>
    <row r="18" spans="1:16" ht="24" customHeight="1" thickBot="1" x14ac:dyDescent="0.5">
      <c r="A18" s="351"/>
      <c r="B18" s="355"/>
      <c r="C18" s="44">
        <f>C17/$C$4</f>
        <v>0.11908127208480565</v>
      </c>
      <c r="D18" s="45">
        <f>D17/$D$4</f>
        <v>0.109525</v>
      </c>
      <c r="E18" s="44">
        <f>E17/337</f>
        <v>6.8249258160237386E-2</v>
      </c>
      <c r="F18" s="45">
        <v>7.4999999999999997E-2</v>
      </c>
      <c r="G18" s="44">
        <f>G17/337</f>
        <v>0.5370919881305638</v>
      </c>
      <c r="H18" s="45">
        <v>0.49</v>
      </c>
      <c r="I18" s="44">
        <f>I17/337</f>
        <v>0.60534124629080122</v>
      </c>
      <c r="J18" s="48">
        <v>0.56499999999999995</v>
      </c>
      <c r="K18" s="44">
        <f>K17/337</f>
        <v>0.28189910979228489</v>
      </c>
      <c r="L18" s="45">
        <v>0.32100000000000001</v>
      </c>
      <c r="M18" s="44">
        <f>M17/337</f>
        <v>0.11275964391691394</v>
      </c>
      <c r="N18" s="45">
        <v>0.115</v>
      </c>
    </row>
    <row r="19" spans="1:16" ht="24" customHeight="1" x14ac:dyDescent="0.45">
      <c r="A19" s="351"/>
      <c r="B19" s="354" t="s">
        <v>136</v>
      </c>
      <c r="C19" s="42">
        <v>1</v>
      </c>
      <c r="D19" s="41">
        <v>33</v>
      </c>
      <c r="E19" s="39">
        <v>0</v>
      </c>
      <c r="F19" s="41">
        <v>2</v>
      </c>
      <c r="G19" s="42">
        <v>0</v>
      </c>
      <c r="H19" s="41">
        <v>13</v>
      </c>
      <c r="I19" s="42">
        <v>0</v>
      </c>
      <c r="J19" s="41">
        <v>15</v>
      </c>
      <c r="K19" s="42">
        <v>0</v>
      </c>
      <c r="L19" s="41">
        <v>11</v>
      </c>
      <c r="M19" s="42">
        <v>1</v>
      </c>
      <c r="N19" s="41">
        <v>7</v>
      </c>
    </row>
    <row r="20" spans="1:16" ht="24" customHeight="1" thickBot="1" x14ac:dyDescent="0.5">
      <c r="A20" s="352"/>
      <c r="B20" s="355"/>
      <c r="C20" s="44">
        <f>C19/$C$4</f>
        <v>3.5335689045936394E-4</v>
      </c>
      <c r="D20" s="45">
        <f>D19/$D$4</f>
        <v>8.25E-4</v>
      </c>
      <c r="E20" s="49">
        <v>0</v>
      </c>
      <c r="F20" s="45">
        <v>6.0999999999999999E-2</v>
      </c>
      <c r="G20" s="49">
        <v>0</v>
      </c>
      <c r="H20" s="45">
        <v>0.39400000000000002</v>
      </c>
      <c r="I20" s="49">
        <v>0</v>
      </c>
      <c r="J20" s="48">
        <v>0.45500000000000002</v>
      </c>
      <c r="K20" s="49">
        <v>0</v>
      </c>
      <c r="L20" s="37">
        <v>0.33300000000000002</v>
      </c>
      <c r="M20" s="49">
        <v>1</v>
      </c>
      <c r="N20" s="45">
        <v>0.21199999999999999</v>
      </c>
    </row>
    <row r="21" spans="1:16" ht="24" customHeight="1" x14ac:dyDescent="0.45">
      <c r="A21" s="352"/>
      <c r="B21" s="354" t="s">
        <v>137</v>
      </c>
      <c r="C21" s="50">
        <v>359</v>
      </c>
      <c r="D21" s="51">
        <v>4899</v>
      </c>
      <c r="E21" s="52">
        <v>21</v>
      </c>
      <c r="F21" s="51">
        <v>331</v>
      </c>
      <c r="G21" s="50">
        <v>146</v>
      </c>
      <c r="H21" s="51">
        <v>1923</v>
      </c>
      <c r="I21" s="53">
        <v>167</v>
      </c>
      <c r="J21" s="54">
        <f>(F21+H21)</f>
        <v>2254</v>
      </c>
      <c r="K21" s="55">
        <v>105</v>
      </c>
      <c r="L21" s="56">
        <v>1506</v>
      </c>
      <c r="M21" s="57">
        <v>87</v>
      </c>
      <c r="N21" s="51">
        <v>1139</v>
      </c>
    </row>
    <row r="22" spans="1:16" ht="24" customHeight="1" thickBot="1" x14ac:dyDescent="0.5">
      <c r="A22" s="353"/>
      <c r="B22" s="355"/>
      <c r="C22" s="44">
        <f>C21/$C$4</f>
        <v>0.12685512367491167</v>
      </c>
      <c r="D22" s="45">
        <f>D21/$D$4</f>
        <v>0.122475</v>
      </c>
      <c r="E22" s="44">
        <f>E21/359</f>
        <v>5.8495821727019497E-2</v>
      </c>
      <c r="F22" s="45">
        <v>6.8000000000000005E-2</v>
      </c>
      <c r="G22" s="44">
        <f>G21/359</f>
        <v>0.40668523676880225</v>
      </c>
      <c r="H22" s="45">
        <v>0.39300000000000002</v>
      </c>
      <c r="I22" s="58">
        <f>I21/359</f>
        <v>0.46518105849582175</v>
      </c>
      <c r="J22" s="59">
        <v>0.46100000000000002</v>
      </c>
      <c r="K22" s="44">
        <f>K21/359</f>
        <v>0.29247910863509752</v>
      </c>
      <c r="L22" s="45">
        <v>0.307</v>
      </c>
      <c r="M22" s="44">
        <f>M21/359</f>
        <v>0.24233983286908078</v>
      </c>
      <c r="N22" s="45">
        <v>0.23200000000000001</v>
      </c>
    </row>
    <row r="23" spans="1:16" x14ac:dyDescent="0.45">
      <c r="A23" s="60"/>
      <c r="C23" s="13"/>
      <c r="D23" s="61"/>
    </row>
    <row r="24" spans="1:16" x14ac:dyDescent="0.45">
      <c r="A24" s="15"/>
      <c r="C24" s="13"/>
      <c r="D24" s="61"/>
    </row>
    <row r="25" spans="1:16" x14ac:dyDescent="0.45">
      <c r="A25" s="15"/>
      <c r="C25" s="13"/>
      <c r="D25" s="61"/>
    </row>
    <row r="26" spans="1:16" x14ac:dyDescent="0.45">
      <c r="A26" s="15"/>
      <c r="C26" s="13"/>
      <c r="D26" s="61"/>
    </row>
    <row r="27" spans="1:16" x14ac:dyDescent="0.45">
      <c r="A27" s="15"/>
      <c r="C27" s="13"/>
      <c r="D27" s="61"/>
    </row>
    <row r="28" spans="1:16" ht="18.600000000000001" thickBot="1" x14ac:dyDescent="0.5">
      <c r="A28" s="15"/>
      <c r="C28" s="13"/>
      <c r="D28" s="61"/>
    </row>
    <row r="29" spans="1:16" ht="36.6" customHeight="1" thickBot="1" x14ac:dyDescent="0.5">
      <c r="A29" s="357" t="s">
        <v>138</v>
      </c>
      <c r="B29" s="358"/>
      <c r="C29" s="361"/>
      <c r="D29" s="362"/>
      <c r="E29" s="345" t="s">
        <v>124</v>
      </c>
      <c r="F29" s="346"/>
      <c r="G29" s="345" t="s">
        <v>125</v>
      </c>
      <c r="H29" s="346"/>
      <c r="I29" s="345" t="s">
        <v>126</v>
      </c>
      <c r="J29" s="346"/>
      <c r="K29" s="345" t="s">
        <v>127</v>
      </c>
      <c r="L29" s="346"/>
      <c r="M29" s="345" t="s">
        <v>128</v>
      </c>
      <c r="N29" s="346"/>
      <c r="O29" s="366" t="s">
        <v>139</v>
      </c>
      <c r="P29" s="367"/>
    </row>
    <row r="30" spans="1:16" ht="36.6" customHeight="1" thickBot="1" x14ac:dyDescent="0.5">
      <c r="A30" s="359"/>
      <c r="B30" s="360"/>
      <c r="C30" s="20" t="s">
        <v>4</v>
      </c>
      <c r="D30" s="21" t="s">
        <v>0</v>
      </c>
      <c r="E30" s="22" t="s">
        <v>4</v>
      </c>
      <c r="F30" s="21" t="s">
        <v>0</v>
      </c>
      <c r="G30" s="22" t="s">
        <v>4</v>
      </c>
      <c r="H30" s="21" t="s">
        <v>0</v>
      </c>
      <c r="I30" s="22" t="s">
        <v>4</v>
      </c>
      <c r="J30" s="23" t="s">
        <v>0</v>
      </c>
      <c r="K30" s="22" t="s">
        <v>4</v>
      </c>
      <c r="L30" s="21" t="s">
        <v>0</v>
      </c>
      <c r="M30" s="22" t="s">
        <v>4</v>
      </c>
      <c r="N30" s="21" t="s">
        <v>0</v>
      </c>
      <c r="O30" s="62" t="s">
        <v>4</v>
      </c>
      <c r="P30" s="63" t="s">
        <v>0</v>
      </c>
    </row>
    <row r="31" spans="1:16" ht="22.8" customHeight="1" thickBot="1" x14ac:dyDescent="0.5">
      <c r="A31" s="345" t="s">
        <v>0</v>
      </c>
      <c r="B31" s="346"/>
      <c r="C31" s="50">
        <v>2840</v>
      </c>
      <c r="D31" s="64">
        <v>40000</v>
      </c>
      <c r="E31" s="65">
        <v>259</v>
      </c>
      <c r="F31" s="66">
        <v>3689</v>
      </c>
      <c r="G31" s="65">
        <v>1561</v>
      </c>
      <c r="H31" s="66">
        <v>21605</v>
      </c>
      <c r="I31" s="65">
        <f>E31+G31</f>
        <v>1820</v>
      </c>
      <c r="J31" s="66">
        <f>F31+H31</f>
        <v>25294</v>
      </c>
      <c r="K31" s="65">
        <v>641</v>
      </c>
      <c r="L31" s="66">
        <v>9462</v>
      </c>
      <c r="M31" s="65">
        <v>220</v>
      </c>
      <c r="N31" s="66">
        <v>2992</v>
      </c>
      <c r="O31" s="67">
        <v>159</v>
      </c>
      <c r="P31" s="67">
        <v>2252</v>
      </c>
    </row>
    <row r="32" spans="1:16" ht="22.8" hidden="1" customHeight="1" x14ac:dyDescent="0.45">
      <c r="A32" s="363" t="s">
        <v>20</v>
      </c>
      <c r="B32" s="68" t="s">
        <v>1</v>
      </c>
      <c r="C32" s="42"/>
      <c r="D32" s="69"/>
      <c r="E32" s="70"/>
      <c r="F32" s="71"/>
      <c r="G32" s="70"/>
      <c r="H32" s="71"/>
      <c r="I32" s="70"/>
      <c r="J32" s="71"/>
      <c r="K32" s="70"/>
      <c r="L32" s="71"/>
      <c r="M32" s="70"/>
      <c r="N32" s="71"/>
      <c r="O32" s="72"/>
      <c r="P32" s="72"/>
    </row>
    <row r="33" spans="1:16" ht="22.8" hidden="1" customHeight="1" x14ac:dyDescent="0.45">
      <c r="A33" s="364"/>
      <c r="B33" s="73" t="s">
        <v>2</v>
      </c>
      <c r="C33" s="34"/>
      <c r="D33" s="74"/>
      <c r="E33" s="36"/>
      <c r="F33" s="75"/>
      <c r="G33" s="36"/>
      <c r="H33" s="75"/>
      <c r="I33" s="36"/>
      <c r="J33" s="75"/>
      <c r="K33" s="36"/>
      <c r="L33" s="75"/>
      <c r="M33" s="36"/>
      <c r="N33" s="75"/>
      <c r="O33" s="72"/>
      <c r="P33" s="72"/>
    </row>
    <row r="34" spans="1:16" ht="22.8" hidden="1" customHeight="1" thickBot="1" x14ac:dyDescent="0.5">
      <c r="A34" s="365"/>
      <c r="B34" s="76" t="s">
        <v>37</v>
      </c>
      <c r="C34" s="77"/>
      <c r="D34" s="78"/>
      <c r="E34" s="44"/>
      <c r="F34" s="79"/>
      <c r="G34" s="44"/>
      <c r="H34" s="79"/>
      <c r="I34" s="44"/>
      <c r="J34" s="79"/>
      <c r="K34" s="44"/>
      <c r="L34" s="79"/>
      <c r="M34" s="44"/>
      <c r="N34" s="79"/>
      <c r="O34" s="72"/>
      <c r="P34" s="72"/>
    </row>
    <row r="35" spans="1:16" ht="22.8" customHeight="1" x14ac:dyDescent="0.45">
      <c r="A35" s="350" t="s">
        <v>129</v>
      </c>
      <c r="B35" s="354" t="s">
        <v>130</v>
      </c>
      <c r="C35" s="42">
        <v>226</v>
      </c>
      <c r="D35" s="41">
        <v>3461</v>
      </c>
      <c r="E35" s="42">
        <v>50</v>
      </c>
      <c r="F35" s="41">
        <v>663</v>
      </c>
      <c r="G35" s="42">
        <v>140</v>
      </c>
      <c r="H35" s="41">
        <v>2129</v>
      </c>
      <c r="I35" s="43">
        <v>190</v>
      </c>
      <c r="J35" s="43">
        <f>(F35+H35)</f>
        <v>2792</v>
      </c>
      <c r="K35" s="42">
        <v>30</v>
      </c>
      <c r="L35" s="41">
        <v>539</v>
      </c>
      <c r="M35" s="42">
        <v>4</v>
      </c>
      <c r="N35" s="41">
        <v>95</v>
      </c>
      <c r="O35" s="80">
        <v>2</v>
      </c>
      <c r="P35" s="80">
        <v>35</v>
      </c>
    </row>
    <row r="36" spans="1:16" ht="22.8" customHeight="1" thickBot="1" x14ac:dyDescent="0.5">
      <c r="A36" s="350"/>
      <c r="B36" s="355"/>
      <c r="C36" s="44">
        <f>C35/$C$31</f>
        <v>7.9577464788732399E-2</v>
      </c>
      <c r="D36" s="45">
        <f>D35/$D$31</f>
        <v>8.6525000000000005E-2</v>
      </c>
      <c r="E36" s="44">
        <f>E35/$C$35</f>
        <v>0.22123893805309736</v>
      </c>
      <c r="F36" s="45">
        <f>F35/$D$35</f>
        <v>0.19156313204276221</v>
      </c>
      <c r="G36" s="44">
        <f>G35/$C$35</f>
        <v>0.61946902654867253</v>
      </c>
      <c r="H36" s="45">
        <f>H35/$D$35</f>
        <v>0.61514013290956371</v>
      </c>
      <c r="I36" s="46">
        <f>I35/$C$35</f>
        <v>0.84070796460176989</v>
      </c>
      <c r="J36" s="47">
        <f>J35/$D$35</f>
        <v>0.80670326495232592</v>
      </c>
      <c r="K36" s="44">
        <f>K35/$C$35</f>
        <v>0.13274336283185842</v>
      </c>
      <c r="L36" s="45">
        <f>L35/$D$35</f>
        <v>0.15573533660791677</v>
      </c>
      <c r="M36" s="44">
        <f>M35/$C$35</f>
        <v>1.7699115044247787E-2</v>
      </c>
      <c r="N36" s="45">
        <f>N35/$D$35</f>
        <v>2.7448714244438024E-2</v>
      </c>
      <c r="O36" s="81">
        <f>O35/$C$35</f>
        <v>8.8495575221238937E-3</v>
      </c>
      <c r="P36" s="81">
        <f>P35/$D$35</f>
        <v>1.0112684195319271E-2</v>
      </c>
    </row>
    <row r="37" spans="1:16" ht="22.8" customHeight="1" x14ac:dyDescent="0.45">
      <c r="A37" s="351"/>
      <c r="B37" s="354" t="s">
        <v>131</v>
      </c>
      <c r="C37" s="42">
        <v>1496</v>
      </c>
      <c r="D37" s="41">
        <v>21047</v>
      </c>
      <c r="E37" s="42">
        <v>130</v>
      </c>
      <c r="F37" s="41">
        <v>1907</v>
      </c>
      <c r="G37" s="42">
        <v>946</v>
      </c>
      <c r="H37" s="41">
        <v>12822</v>
      </c>
      <c r="I37" s="42">
        <f>(E37+G37)</f>
        <v>1076</v>
      </c>
      <c r="J37" s="41">
        <f>(F37+H37)</f>
        <v>14729</v>
      </c>
      <c r="K37" s="42">
        <v>335</v>
      </c>
      <c r="L37" s="41">
        <v>4849</v>
      </c>
      <c r="M37" s="42">
        <v>59</v>
      </c>
      <c r="N37" s="41">
        <v>1006</v>
      </c>
      <c r="O37" s="82">
        <v>26</v>
      </c>
      <c r="P37" s="80">
        <v>463</v>
      </c>
    </row>
    <row r="38" spans="1:16" ht="22.8" customHeight="1" thickBot="1" x14ac:dyDescent="0.5">
      <c r="A38" s="351"/>
      <c r="B38" s="356"/>
      <c r="C38" s="36">
        <f>C37/$C$31</f>
        <v>0.52676056338028165</v>
      </c>
      <c r="D38" s="37">
        <f>D37/$D$31</f>
        <v>0.52617499999999995</v>
      </c>
      <c r="E38" s="36">
        <f>E37/$C$37</f>
        <v>8.6898395721925134E-2</v>
      </c>
      <c r="F38" s="37">
        <f>F37/$D$37</f>
        <v>9.0606737302228346E-2</v>
      </c>
      <c r="G38" s="36">
        <f>G37/$C$37</f>
        <v>0.63235294117647056</v>
      </c>
      <c r="H38" s="37">
        <f>H37/$D$37</f>
        <v>0.60920796313013736</v>
      </c>
      <c r="I38" s="36">
        <f>I37/$C$37</f>
        <v>0.71925133689839571</v>
      </c>
      <c r="J38" s="38">
        <f>J37/$D$37</f>
        <v>0.69981470043236571</v>
      </c>
      <c r="K38" s="36">
        <f>K37/$C$37</f>
        <v>0.22393048128342247</v>
      </c>
      <c r="L38" s="37">
        <f>L37/$D$37</f>
        <v>0.23038912909203213</v>
      </c>
      <c r="M38" s="36">
        <f>M37/$C$37</f>
        <v>3.9438502673796789E-2</v>
      </c>
      <c r="N38" s="37">
        <f>N37/$D$37</f>
        <v>4.7797785907730317E-2</v>
      </c>
      <c r="O38" s="81">
        <f>O37/$C$37</f>
        <v>1.7379679144385027E-2</v>
      </c>
      <c r="P38" s="81">
        <f>P37/$D$37</f>
        <v>2.1998384567871905E-2</v>
      </c>
    </row>
    <row r="39" spans="1:16" ht="22.8" customHeight="1" x14ac:dyDescent="0.45">
      <c r="A39" s="351"/>
      <c r="B39" s="354" t="s">
        <v>132</v>
      </c>
      <c r="C39" s="42">
        <v>12</v>
      </c>
      <c r="D39" s="41">
        <v>210</v>
      </c>
      <c r="E39" s="42">
        <v>1</v>
      </c>
      <c r="F39" s="41">
        <v>39</v>
      </c>
      <c r="G39" s="42">
        <v>8</v>
      </c>
      <c r="H39" s="41">
        <v>118</v>
      </c>
      <c r="I39" s="42">
        <v>9</v>
      </c>
      <c r="J39" s="41">
        <f>(F39+H39)</f>
        <v>157</v>
      </c>
      <c r="K39" s="42">
        <v>2</v>
      </c>
      <c r="L39" s="41">
        <v>33</v>
      </c>
      <c r="M39" s="42">
        <v>1</v>
      </c>
      <c r="N39" s="41">
        <v>12</v>
      </c>
      <c r="O39" s="82">
        <v>0</v>
      </c>
      <c r="P39" s="80">
        <v>8</v>
      </c>
    </row>
    <row r="40" spans="1:16" ht="22.8" customHeight="1" thickBot="1" x14ac:dyDescent="0.5">
      <c r="A40" s="351"/>
      <c r="B40" s="355"/>
      <c r="C40" s="44">
        <f>C39/$C$31</f>
        <v>4.2253521126760559E-3</v>
      </c>
      <c r="D40" s="45">
        <f>D39/$D$31</f>
        <v>5.2500000000000003E-3</v>
      </c>
      <c r="E40" s="44">
        <f>E39/$C$39</f>
        <v>8.3333333333333329E-2</v>
      </c>
      <c r="F40" s="45">
        <f>F39/$D$39</f>
        <v>0.18571428571428572</v>
      </c>
      <c r="G40" s="44">
        <f>G39/$C$39</f>
        <v>0.66666666666666663</v>
      </c>
      <c r="H40" s="45">
        <f>H39/$D$39</f>
        <v>0.56190476190476191</v>
      </c>
      <c r="I40" s="44">
        <f>I39/$C$39</f>
        <v>0.75</v>
      </c>
      <c r="J40" s="48">
        <f>J39/$D$39</f>
        <v>0.74761904761904763</v>
      </c>
      <c r="K40" s="44">
        <f>K39/$C$39</f>
        <v>0.16666666666666666</v>
      </c>
      <c r="L40" s="45">
        <f>L39/$D$39</f>
        <v>0.15714285714285714</v>
      </c>
      <c r="M40" s="44">
        <f>M39/$C$39</f>
        <v>8.3333333333333329E-2</v>
      </c>
      <c r="N40" s="45">
        <f>N39/$D$39</f>
        <v>5.7142857142857141E-2</v>
      </c>
      <c r="O40" s="81">
        <f>O39/$C$39</f>
        <v>0</v>
      </c>
      <c r="P40" s="81">
        <f>P39/$D$39</f>
        <v>3.8095238095238099E-2</v>
      </c>
    </row>
    <row r="41" spans="1:16" ht="22.8" customHeight="1" x14ac:dyDescent="0.45">
      <c r="A41" s="351"/>
      <c r="B41" s="354" t="s">
        <v>133</v>
      </c>
      <c r="C41" s="42">
        <v>10</v>
      </c>
      <c r="D41" s="41">
        <v>226</v>
      </c>
      <c r="E41" s="42">
        <v>1</v>
      </c>
      <c r="F41" s="41">
        <v>17</v>
      </c>
      <c r="G41" s="42">
        <v>5</v>
      </c>
      <c r="H41" s="41">
        <v>118</v>
      </c>
      <c r="I41" s="42">
        <v>6</v>
      </c>
      <c r="J41" s="41">
        <f>(F41+H41)</f>
        <v>135</v>
      </c>
      <c r="K41" s="42">
        <v>3</v>
      </c>
      <c r="L41" s="41">
        <v>59</v>
      </c>
      <c r="M41" s="42">
        <v>1</v>
      </c>
      <c r="N41" s="41">
        <v>20</v>
      </c>
      <c r="O41" s="82">
        <v>0</v>
      </c>
      <c r="P41" s="80">
        <v>12</v>
      </c>
    </row>
    <row r="42" spans="1:16" ht="22.8" customHeight="1" thickBot="1" x14ac:dyDescent="0.5">
      <c r="A42" s="351"/>
      <c r="B42" s="355"/>
      <c r="C42" s="44">
        <f>C41/$C$31</f>
        <v>3.5211267605633804E-3</v>
      </c>
      <c r="D42" s="45">
        <f>D41/$D$31</f>
        <v>5.6499999999999996E-3</v>
      </c>
      <c r="E42" s="44">
        <f>E41/$C$41</f>
        <v>0.1</v>
      </c>
      <c r="F42" s="45">
        <f>F41/$D$41</f>
        <v>7.5221238938053103E-2</v>
      </c>
      <c r="G42" s="44">
        <f>G41/$C$41</f>
        <v>0.5</v>
      </c>
      <c r="H42" s="45">
        <f>H41/$D$41</f>
        <v>0.52212389380530977</v>
      </c>
      <c r="I42" s="44">
        <f>I41/$C$41</f>
        <v>0.6</v>
      </c>
      <c r="J42" s="48">
        <f>J41/$D$41</f>
        <v>0.59734513274336287</v>
      </c>
      <c r="K42" s="44">
        <f>K41/$C$41</f>
        <v>0.3</v>
      </c>
      <c r="L42" s="45">
        <f>L41/$D$41</f>
        <v>0.26106194690265488</v>
      </c>
      <c r="M42" s="49">
        <f>M41/$C$41</f>
        <v>0.1</v>
      </c>
      <c r="N42" s="45">
        <f>N41/$D$41</f>
        <v>8.8495575221238937E-2</v>
      </c>
      <c r="O42" s="81">
        <f>O41/$C$41</f>
        <v>0</v>
      </c>
      <c r="P42" s="81">
        <f>P41/$D$41</f>
        <v>5.3097345132743362E-2</v>
      </c>
    </row>
    <row r="43" spans="1:16" ht="22.8" customHeight="1" x14ac:dyDescent="0.45">
      <c r="A43" s="351"/>
      <c r="B43" s="354" t="s">
        <v>134</v>
      </c>
      <c r="C43" s="42">
        <v>466</v>
      </c>
      <c r="D43" s="41">
        <v>6379</v>
      </c>
      <c r="E43" s="42">
        <v>47</v>
      </c>
      <c r="F43" s="41">
        <v>613</v>
      </c>
      <c r="G43" s="42">
        <v>221</v>
      </c>
      <c r="H43" s="41">
        <v>3057</v>
      </c>
      <c r="I43" s="42">
        <f>(E43+G43)</f>
        <v>268</v>
      </c>
      <c r="J43" s="41">
        <f>(F43+H43)</f>
        <v>3670</v>
      </c>
      <c r="K43" s="42">
        <v>115</v>
      </c>
      <c r="L43" s="41">
        <v>1584</v>
      </c>
      <c r="M43" s="42">
        <v>46</v>
      </c>
      <c r="N43" s="41">
        <v>594</v>
      </c>
      <c r="O43" s="82">
        <v>37</v>
      </c>
      <c r="P43" s="80">
        <v>531</v>
      </c>
    </row>
    <row r="44" spans="1:16" ht="22.8" customHeight="1" thickBot="1" x14ac:dyDescent="0.5">
      <c r="A44" s="351"/>
      <c r="B44" s="355"/>
      <c r="C44" s="44">
        <f>C43/$C$31</f>
        <v>0.16408450704225352</v>
      </c>
      <c r="D44" s="45">
        <f>D43/$D$31</f>
        <v>0.15947500000000001</v>
      </c>
      <c r="E44" s="44">
        <f>E43/$C$43</f>
        <v>0.10085836909871244</v>
      </c>
      <c r="F44" s="45">
        <f>F43/$D$43</f>
        <v>9.6096566860009405E-2</v>
      </c>
      <c r="G44" s="44">
        <f>G43/$C$43</f>
        <v>0.47424892703862659</v>
      </c>
      <c r="H44" s="45">
        <f>H43/$D$43</f>
        <v>0.47922871923498983</v>
      </c>
      <c r="I44" s="44">
        <f>I43/$C$43</f>
        <v>0.57510729613733902</v>
      </c>
      <c r="J44" s="48">
        <f>J43/$D$43</f>
        <v>0.57532528609499922</v>
      </c>
      <c r="K44" s="44">
        <f>K43/$C$43</f>
        <v>0.24678111587982832</v>
      </c>
      <c r="L44" s="45">
        <f>L43/$D$43</f>
        <v>0.24831478288132935</v>
      </c>
      <c r="M44" s="44">
        <f>M43/$C$43</f>
        <v>9.8712446351931327E-2</v>
      </c>
      <c r="N44" s="45">
        <f>N43/$D$43</f>
        <v>9.3118043580498508E-2</v>
      </c>
      <c r="O44" s="81">
        <f>O43/$C$43</f>
        <v>7.9399141630901282E-2</v>
      </c>
      <c r="P44" s="81">
        <f>P43/$D$43</f>
        <v>8.3241887443172916E-2</v>
      </c>
    </row>
    <row r="45" spans="1:16" ht="22.8" customHeight="1" x14ac:dyDescent="0.45">
      <c r="A45" s="351"/>
      <c r="B45" s="354" t="s">
        <v>135</v>
      </c>
      <c r="C45" s="42">
        <v>336</v>
      </c>
      <c r="D45" s="41">
        <v>4561</v>
      </c>
      <c r="E45" s="42">
        <v>15</v>
      </c>
      <c r="F45" s="41">
        <v>242</v>
      </c>
      <c r="G45" s="42">
        <v>148</v>
      </c>
      <c r="H45" s="41">
        <v>2071</v>
      </c>
      <c r="I45" s="42">
        <f>(E45+G45)</f>
        <v>163</v>
      </c>
      <c r="J45" s="41">
        <f>(F45+H45)</f>
        <v>2313</v>
      </c>
      <c r="K45" s="42">
        <v>100</v>
      </c>
      <c r="L45" s="41">
        <v>1410</v>
      </c>
      <c r="M45" s="42">
        <v>46</v>
      </c>
      <c r="N45" s="41">
        <v>523</v>
      </c>
      <c r="O45" s="82">
        <v>27</v>
      </c>
      <c r="P45" s="80">
        <v>315</v>
      </c>
    </row>
    <row r="46" spans="1:16" ht="22.8" customHeight="1" thickBot="1" x14ac:dyDescent="0.5">
      <c r="A46" s="351"/>
      <c r="B46" s="355"/>
      <c r="C46" s="44">
        <f>C45/$C$31</f>
        <v>0.11830985915492957</v>
      </c>
      <c r="D46" s="45">
        <f>D45/$D$31</f>
        <v>0.114025</v>
      </c>
      <c r="E46" s="44">
        <f>E45/$C$45</f>
        <v>4.4642857142857144E-2</v>
      </c>
      <c r="F46" s="45">
        <f>F45/$D$45</f>
        <v>5.3058539793904846E-2</v>
      </c>
      <c r="G46" s="44">
        <f>G45/$C$45</f>
        <v>0.44047619047619047</v>
      </c>
      <c r="H46" s="45">
        <f>H45/$D$45</f>
        <v>0.45406709055031791</v>
      </c>
      <c r="I46" s="44">
        <f>I45/$C$45</f>
        <v>0.48511904761904762</v>
      </c>
      <c r="J46" s="48">
        <f>J45/$D$45</f>
        <v>0.50712563034422276</v>
      </c>
      <c r="K46" s="44">
        <f>K45/$C$45</f>
        <v>0.29761904761904762</v>
      </c>
      <c r="L46" s="45">
        <f>L45/$D$45</f>
        <v>0.30914273185704888</v>
      </c>
      <c r="M46" s="44">
        <f>M45/$C$45</f>
        <v>0.13690476190476192</v>
      </c>
      <c r="N46" s="45">
        <f>N45/$D$45</f>
        <v>0.114667836000877</v>
      </c>
      <c r="O46" s="81">
        <f>O45/$C$45</f>
        <v>8.0357142857142863E-2</v>
      </c>
      <c r="P46" s="81">
        <f>P45/$D$45</f>
        <v>6.9063801797851349E-2</v>
      </c>
    </row>
    <row r="47" spans="1:16" ht="22.8" customHeight="1" x14ac:dyDescent="0.45">
      <c r="A47" s="351"/>
      <c r="B47" s="354" t="s">
        <v>136</v>
      </c>
      <c r="C47" s="42">
        <v>4</v>
      </c>
      <c r="D47" s="41">
        <v>58</v>
      </c>
      <c r="E47" s="42">
        <v>0</v>
      </c>
      <c r="F47" s="41">
        <v>3</v>
      </c>
      <c r="G47" s="42">
        <v>1</v>
      </c>
      <c r="H47" s="41">
        <v>27</v>
      </c>
      <c r="I47" s="42">
        <v>1</v>
      </c>
      <c r="J47" s="41">
        <f>(F47+H47)</f>
        <v>30</v>
      </c>
      <c r="K47" s="42">
        <v>2</v>
      </c>
      <c r="L47" s="41">
        <v>19</v>
      </c>
      <c r="M47" s="42">
        <v>1</v>
      </c>
      <c r="N47" s="41">
        <v>5</v>
      </c>
      <c r="O47" s="82">
        <v>0</v>
      </c>
      <c r="P47" s="80">
        <v>4</v>
      </c>
    </row>
    <row r="48" spans="1:16" ht="22.8" customHeight="1" thickBot="1" x14ac:dyDescent="0.5">
      <c r="A48" s="352"/>
      <c r="B48" s="355"/>
      <c r="C48" s="44">
        <f>C47/$C$31</f>
        <v>1.4084507042253522E-3</v>
      </c>
      <c r="D48" s="45">
        <f>D47/$D$31</f>
        <v>1.4499999999999999E-3</v>
      </c>
      <c r="E48" s="49">
        <v>0</v>
      </c>
      <c r="F48" s="45">
        <f>F47/$D$47</f>
        <v>5.1724137931034482E-2</v>
      </c>
      <c r="G48" s="49">
        <f>G47/$C$47</f>
        <v>0.25</v>
      </c>
      <c r="H48" s="45">
        <f>H47/$D$47</f>
        <v>0.46551724137931033</v>
      </c>
      <c r="I48" s="49">
        <f>I47/$C$47</f>
        <v>0.25</v>
      </c>
      <c r="J48" s="48">
        <f>J47/$D$47</f>
        <v>0.51724137931034486</v>
      </c>
      <c r="K48" s="49">
        <f>K47/$C$47</f>
        <v>0.5</v>
      </c>
      <c r="L48" s="45">
        <f>L47/$D$47</f>
        <v>0.32758620689655171</v>
      </c>
      <c r="M48" s="49">
        <f>M47/$C$47</f>
        <v>0.25</v>
      </c>
      <c r="N48" s="45">
        <f>N47/$D$47</f>
        <v>8.6206896551724144E-2</v>
      </c>
      <c r="O48" s="81">
        <f>O47/$C$47</f>
        <v>0</v>
      </c>
      <c r="P48" s="81">
        <f>P47/$D$47</f>
        <v>6.8965517241379309E-2</v>
      </c>
    </row>
    <row r="49" spans="1:16" ht="22.8" customHeight="1" x14ac:dyDescent="0.45">
      <c r="A49" s="352"/>
      <c r="B49" s="354" t="s">
        <v>137</v>
      </c>
      <c r="C49" s="50">
        <v>290</v>
      </c>
      <c r="D49" s="51">
        <v>4058</v>
      </c>
      <c r="E49" s="50">
        <v>15</v>
      </c>
      <c r="F49" s="51">
        <v>205</v>
      </c>
      <c r="G49" s="50">
        <v>92</v>
      </c>
      <c r="H49" s="51">
        <v>1263</v>
      </c>
      <c r="I49" s="53">
        <f>(E49+G49)</f>
        <v>107</v>
      </c>
      <c r="J49" s="54">
        <f>(F49+H49)</f>
        <v>1468</v>
      </c>
      <c r="K49" s="50">
        <v>54</v>
      </c>
      <c r="L49" s="51">
        <v>969</v>
      </c>
      <c r="M49" s="50">
        <v>62</v>
      </c>
      <c r="N49" s="51">
        <v>737</v>
      </c>
      <c r="O49" s="82">
        <v>67</v>
      </c>
      <c r="P49" s="80">
        <v>884</v>
      </c>
    </row>
    <row r="50" spans="1:16" ht="22.8" customHeight="1" thickBot="1" x14ac:dyDescent="0.5">
      <c r="A50" s="353"/>
      <c r="B50" s="355"/>
      <c r="C50" s="44">
        <f>C49/$C$31</f>
        <v>0.10211267605633803</v>
      </c>
      <c r="D50" s="45">
        <f>D49/$D$31</f>
        <v>0.10145</v>
      </c>
      <c r="E50" s="44">
        <f>E49/$C$49</f>
        <v>5.1724137931034482E-2</v>
      </c>
      <c r="F50" s="45">
        <f>F49/$D$49</f>
        <v>5.0517496303597829E-2</v>
      </c>
      <c r="G50" s="44">
        <f>G49/$C$49</f>
        <v>0.31724137931034485</v>
      </c>
      <c r="H50" s="45">
        <f>H49/$D$49</f>
        <v>0.31123706259241007</v>
      </c>
      <c r="I50" s="58">
        <f>I49/$C$49</f>
        <v>0.36896551724137933</v>
      </c>
      <c r="J50" s="59">
        <f>J49/$D$49</f>
        <v>0.36175455889600788</v>
      </c>
      <c r="K50" s="44">
        <f>K49/$C$49</f>
        <v>0.18620689655172415</v>
      </c>
      <c r="L50" s="45">
        <f>L49/$D$49</f>
        <v>0.23878758008871365</v>
      </c>
      <c r="M50" s="44">
        <f>M49/$C$49</f>
        <v>0.21379310344827587</v>
      </c>
      <c r="N50" s="45">
        <f>N49/$D$49</f>
        <v>0.18161655988171513</v>
      </c>
      <c r="O50" s="81">
        <f>O49/$C$49</f>
        <v>0.23103448275862068</v>
      </c>
      <c r="P50" s="81">
        <f>P49/$D$49</f>
        <v>0.21784130113356334</v>
      </c>
    </row>
    <row r="51" spans="1:16" ht="22.8" customHeight="1" x14ac:dyDescent="0.45">
      <c r="A51" s="83"/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</row>
    <row r="52" spans="1:16" x14ac:dyDescent="0.45">
      <c r="B52" s="15" t="s">
        <v>140</v>
      </c>
      <c r="C52" s="86"/>
      <c r="D52" s="86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6" x14ac:dyDescent="0.45">
      <c r="B53" s="15" t="s">
        <v>141</v>
      </c>
      <c r="C53" s="86"/>
      <c r="D53" s="86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6" x14ac:dyDescent="0.45">
      <c r="B54" s="15" t="s">
        <v>142</v>
      </c>
      <c r="C54" s="86"/>
      <c r="D54" s="86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6" x14ac:dyDescent="0.45">
      <c r="B55" s="15" t="s">
        <v>143</v>
      </c>
      <c r="C55" s="86"/>
      <c r="D55" s="86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6" x14ac:dyDescent="0.45">
      <c r="B56" s="15"/>
      <c r="C56" s="86"/>
      <c r="D56" s="86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6" x14ac:dyDescent="0.45">
      <c r="B57" s="15" t="s">
        <v>144</v>
      </c>
      <c r="C57" s="86"/>
      <c r="D57" s="86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6" x14ac:dyDescent="0.45">
      <c r="B58" s="87" t="s">
        <v>145</v>
      </c>
      <c r="C58" s="86"/>
      <c r="D58" s="86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6" x14ac:dyDescent="0.45">
      <c r="B59" s="15" t="s">
        <v>146</v>
      </c>
      <c r="C59" s="86"/>
      <c r="D59" s="86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6" x14ac:dyDescent="0.45">
      <c r="B60" s="15" t="s">
        <v>147</v>
      </c>
      <c r="C60" s="86"/>
      <c r="D60" s="86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6" x14ac:dyDescent="0.45">
      <c r="B61" s="15"/>
      <c r="C61" s="86" t="s">
        <v>148</v>
      </c>
      <c r="D61" s="86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6" x14ac:dyDescent="0.45">
      <c r="B62" s="15"/>
      <c r="C62" s="86" t="s">
        <v>149</v>
      </c>
      <c r="D62" s="86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6" x14ac:dyDescent="0.45">
      <c r="B63" s="15"/>
      <c r="C63" s="86" t="s">
        <v>150</v>
      </c>
      <c r="D63" s="86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6" x14ac:dyDescent="0.45">
      <c r="B64" s="15"/>
      <c r="C64" s="86" t="s">
        <v>151</v>
      </c>
      <c r="D64" s="86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2:14" x14ac:dyDescent="0.45">
      <c r="B65" s="15"/>
      <c r="C65" s="86"/>
      <c r="D65" s="86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2:14" x14ac:dyDescent="0.45">
      <c r="B66" s="15"/>
      <c r="C66" s="86"/>
      <c r="D66" s="86"/>
      <c r="E66" s="15"/>
      <c r="F66" s="15"/>
      <c r="G66" s="15"/>
      <c r="H66" s="15"/>
      <c r="I66" s="15"/>
      <c r="J66" s="15"/>
      <c r="K66" s="15"/>
      <c r="L66" s="15"/>
      <c r="M66" s="15"/>
      <c r="N66" s="15"/>
    </row>
  </sheetData>
  <mergeCells count="37">
    <mergeCell ref="A35:A50"/>
    <mergeCell ref="B35:B36"/>
    <mergeCell ref="B37:B38"/>
    <mergeCell ref="B39:B40"/>
    <mergeCell ref="B41:B42"/>
    <mergeCell ref="B43:B44"/>
    <mergeCell ref="B45:B46"/>
    <mergeCell ref="B47:B48"/>
    <mergeCell ref="B49:B50"/>
    <mergeCell ref="I29:J29"/>
    <mergeCell ref="K29:L29"/>
    <mergeCell ref="M29:N29"/>
    <mergeCell ref="O29:P29"/>
    <mergeCell ref="A31:B31"/>
    <mergeCell ref="E29:F29"/>
    <mergeCell ref="G29:H29"/>
    <mergeCell ref="A32:A34"/>
    <mergeCell ref="B19:B20"/>
    <mergeCell ref="B21:B22"/>
    <mergeCell ref="A29:B30"/>
    <mergeCell ref="C29:D29"/>
    <mergeCell ref="M2:N2"/>
    <mergeCell ref="A4:B4"/>
    <mergeCell ref="A5:A6"/>
    <mergeCell ref="A7:A22"/>
    <mergeCell ref="B7:B8"/>
    <mergeCell ref="B9:B10"/>
    <mergeCell ref="B11:B12"/>
    <mergeCell ref="B13:B14"/>
    <mergeCell ref="B15:B16"/>
    <mergeCell ref="B17:B18"/>
    <mergeCell ref="A2:B3"/>
    <mergeCell ref="C2:D2"/>
    <mergeCell ref="E2:F2"/>
    <mergeCell ref="G2:H2"/>
    <mergeCell ref="I2:J2"/>
    <mergeCell ref="K2:L2"/>
  </mergeCells>
  <phoneticPr fontId="2"/>
  <pageMargins left="0.25" right="0.25" top="0.75" bottom="0.75" header="0.3" footer="0.3"/>
  <pageSetup paperSize="8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0602-92C7-49E2-A0B3-D8955337C4D1}">
  <sheetPr>
    <pageSetUpPr fitToPage="1"/>
  </sheetPr>
  <dimension ref="A1:S16"/>
  <sheetViews>
    <sheetView showGridLines="0" view="pageBreakPreview" zoomScale="70" zoomScaleNormal="70" zoomScaleSheetLayoutView="70" workbookViewId="0">
      <selection activeCell="N2" sqref="N2"/>
    </sheetView>
  </sheetViews>
  <sheetFormatPr defaultRowHeight="14.4" x14ac:dyDescent="0.45"/>
  <cols>
    <col min="1" max="1" width="12.59765625" style="89" customWidth="1"/>
    <col min="2" max="19" width="8.59765625" style="89" customWidth="1"/>
    <col min="20" max="16384" width="8.796875" style="89"/>
  </cols>
  <sheetData>
    <row r="1" spans="1:19" ht="28.2" customHeight="1" x14ac:dyDescent="0.45">
      <c r="A1" s="259" t="s">
        <v>207</v>
      </c>
      <c r="S1" s="260" t="s">
        <v>214</v>
      </c>
    </row>
    <row r="3" spans="1:19" ht="30.6" customHeight="1" x14ac:dyDescent="0.45">
      <c r="A3" s="106" t="s">
        <v>189</v>
      </c>
      <c r="B3" s="88"/>
      <c r="C3" s="88"/>
      <c r="D3" s="88"/>
      <c r="E3" s="88"/>
    </row>
    <row r="4" spans="1:19" ht="30.6" customHeight="1" x14ac:dyDescent="0.45">
      <c r="A4" s="90"/>
      <c r="B4" s="275" t="s">
        <v>0</v>
      </c>
      <c r="C4" s="276"/>
      <c r="D4" s="276"/>
      <c r="E4" s="276"/>
      <c r="F4" s="276"/>
      <c r="G4" s="276"/>
      <c r="H4" s="277" t="s">
        <v>1</v>
      </c>
      <c r="I4" s="277"/>
      <c r="J4" s="277"/>
      <c r="K4" s="277"/>
      <c r="L4" s="277"/>
      <c r="M4" s="277"/>
      <c r="N4" s="277" t="s">
        <v>2</v>
      </c>
      <c r="O4" s="277"/>
      <c r="P4" s="277"/>
      <c r="Q4" s="277"/>
      <c r="R4" s="277"/>
      <c r="S4" s="277"/>
    </row>
    <row r="5" spans="1:19" ht="30.6" customHeight="1" x14ac:dyDescent="0.45">
      <c r="A5" s="90"/>
      <c r="B5" s="273" t="s">
        <v>197</v>
      </c>
      <c r="C5" s="274"/>
      <c r="D5" s="273" t="s">
        <v>15</v>
      </c>
      <c r="E5" s="274"/>
      <c r="F5" s="273" t="s">
        <v>14</v>
      </c>
      <c r="G5" s="274"/>
      <c r="H5" s="273" t="s">
        <v>197</v>
      </c>
      <c r="I5" s="274"/>
      <c r="J5" s="273" t="s">
        <v>15</v>
      </c>
      <c r="K5" s="274"/>
      <c r="L5" s="273" t="s">
        <v>14</v>
      </c>
      <c r="M5" s="274"/>
      <c r="N5" s="273" t="s">
        <v>197</v>
      </c>
      <c r="O5" s="274"/>
      <c r="P5" s="273" t="s">
        <v>15</v>
      </c>
      <c r="Q5" s="274"/>
      <c r="R5" s="273" t="s">
        <v>14</v>
      </c>
      <c r="S5" s="274"/>
    </row>
    <row r="6" spans="1:19" ht="30.6" customHeight="1" x14ac:dyDescent="0.45">
      <c r="A6" s="91"/>
      <c r="B6" s="92" t="s">
        <v>3</v>
      </c>
      <c r="C6" s="93" t="s">
        <v>4</v>
      </c>
      <c r="D6" s="92" t="s">
        <v>3</v>
      </c>
      <c r="E6" s="93" t="s">
        <v>4</v>
      </c>
      <c r="F6" s="92" t="s">
        <v>3</v>
      </c>
      <c r="G6" s="93" t="s">
        <v>4</v>
      </c>
      <c r="H6" s="92" t="s">
        <v>3</v>
      </c>
      <c r="I6" s="93" t="s">
        <v>4</v>
      </c>
      <c r="J6" s="92" t="s">
        <v>3</v>
      </c>
      <c r="K6" s="93" t="s">
        <v>4</v>
      </c>
      <c r="L6" s="92" t="s">
        <v>3</v>
      </c>
      <c r="M6" s="93" t="s">
        <v>4</v>
      </c>
      <c r="N6" s="92" t="s">
        <v>3</v>
      </c>
      <c r="O6" s="93" t="s">
        <v>4</v>
      </c>
      <c r="P6" s="92" t="s">
        <v>3</v>
      </c>
      <c r="Q6" s="93" t="s">
        <v>4</v>
      </c>
      <c r="R6" s="92" t="s">
        <v>3</v>
      </c>
      <c r="S6" s="93" t="s">
        <v>4</v>
      </c>
    </row>
    <row r="7" spans="1:19" ht="30.6" customHeight="1" thickBot="1" x14ac:dyDescent="0.5">
      <c r="A7" s="94" t="s">
        <v>5</v>
      </c>
      <c r="B7" s="95">
        <v>0.51800000000000002</v>
      </c>
      <c r="C7" s="96">
        <f>1403/2793</f>
        <v>0.50232724668814899</v>
      </c>
      <c r="D7" s="95">
        <f>21063/40000</f>
        <v>0.52657500000000002</v>
      </c>
      <c r="E7" s="96">
        <f>1482/2871</f>
        <v>0.51619644723092994</v>
      </c>
      <c r="F7" s="95">
        <v>0.52100000000000002</v>
      </c>
      <c r="G7" s="96">
        <f>ROUNDDOWN(1434/2830,3)</f>
        <v>0.50600000000000001</v>
      </c>
      <c r="H7" s="97">
        <v>0.55200000000000005</v>
      </c>
      <c r="I7" s="96">
        <f>697/1357</f>
        <v>0.51363301400147388</v>
      </c>
      <c r="J7" s="97">
        <v>0.55768360729904987</v>
      </c>
      <c r="K7" s="96">
        <v>0.55784819454679435</v>
      </c>
      <c r="L7" s="95">
        <v>0.54900000000000004</v>
      </c>
      <c r="M7" s="96">
        <f>ROUNDDOWN(721/1365,3)</f>
        <v>0.52800000000000002</v>
      </c>
      <c r="N7" s="97">
        <v>0.49</v>
      </c>
      <c r="O7" s="96">
        <f>697/1407</f>
        <v>0.49538024164889838</v>
      </c>
      <c r="P7" s="97">
        <v>0.49613524160973421</v>
      </c>
      <c r="Q7" s="96">
        <v>0.47877984084880637</v>
      </c>
      <c r="R7" s="95">
        <v>0.49399999999999999</v>
      </c>
      <c r="S7" s="96">
        <f>ROUNDDOWN(713/1465,3)</f>
        <v>0.48599999999999999</v>
      </c>
    </row>
    <row r="8" spans="1:19" ht="30.6" customHeight="1" thickTop="1" x14ac:dyDescent="0.45">
      <c r="A8" s="98" t="s">
        <v>6</v>
      </c>
      <c r="B8" s="99">
        <v>0.59</v>
      </c>
      <c r="C8" s="100">
        <f>33/53</f>
        <v>0.62264150943396224</v>
      </c>
      <c r="D8" s="99">
        <v>0.5757575757575758</v>
      </c>
      <c r="E8" s="100">
        <v>0.46875</v>
      </c>
      <c r="F8" s="99">
        <v>0.55600000000000005</v>
      </c>
      <c r="G8" s="100">
        <f>ROUNDDOWN(33/62,3)</f>
        <v>0.53200000000000003</v>
      </c>
      <c r="H8" s="101">
        <v>0.65800000000000003</v>
      </c>
      <c r="I8" s="100">
        <f>16/24</f>
        <v>0.66666666666666663</v>
      </c>
      <c r="J8" s="101">
        <v>0.63076923076923075</v>
      </c>
      <c r="K8" s="100">
        <v>0.53333333333333333</v>
      </c>
      <c r="L8" s="99">
        <v>0.629</v>
      </c>
      <c r="M8" s="100">
        <f>ROUNDDOWN(13/29,3)</f>
        <v>0.44800000000000001</v>
      </c>
      <c r="N8" s="101">
        <v>0.54300000000000004</v>
      </c>
      <c r="O8" s="100">
        <f>17/28</f>
        <v>0.6071428571428571</v>
      </c>
      <c r="P8" s="101">
        <v>0.51948051948051943</v>
      </c>
      <c r="Q8" s="100">
        <v>0.41176470588235292</v>
      </c>
      <c r="R8" s="99">
        <v>0.498</v>
      </c>
      <c r="S8" s="100">
        <f>ROUNDDOWN(20/33,3)</f>
        <v>0.60599999999999998</v>
      </c>
    </row>
    <row r="9" spans="1:19" ht="30.6" customHeight="1" x14ac:dyDescent="0.45">
      <c r="A9" s="91" t="s">
        <v>7</v>
      </c>
      <c r="B9" s="99">
        <v>0.496</v>
      </c>
      <c r="C9" s="100">
        <f>170/388</f>
        <v>0.43814432989690721</v>
      </c>
      <c r="D9" s="99">
        <v>0.49270853587400348</v>
      </c>
      <c r="E9" s="100">
        <v>0.46928746928746928</v>
      </c>
      <c r="F9" s="102">
        <v>0.49399999999999999</v>
      </c>
      <c r="G9" s="103">
        <f>ROUNDDOWN(185/375,3)</f>
        <v>0.49299999999999999</v>
      </c>
      <c r="H9" s="101">
        <v>0.56399999999999995</v>
      </c>
      <c r="I9" s="100">
        <f>102/194</f>
        <v>0.52577319587628868</v>
      </c>
      <c r="J9" s="258">
        <v>0.54643131235610132</v>
      </c>
      <c r="K9" s="100">
        <v>0.50769230769230766</v>
      </c>
      <c r="L9" s="102">
        <v>0.54600000000000004</v>
      </c>
      <c r="M9" s="103">
        <f>ROUNDDOWN(94/178,3)</f>
        <v>0.52800000000000002</v>
      </c>
      <c r="N9" s="101">
        <v>0.435</v>
      </c>
      <c r="O9" s="100">
        <f>67/186</f>
        <v>0.36021505376344087</v>
      </c>
      <c r="P9" s="101">
        <v>0.43915132105684546</v>
      </c>
      <c r="Q9" s="100">
        <v>0.42995169082125606</v>
      </c>
      <c r="R9" s="102">
        <v>0.439</v>
      </c>
      <c r="S9" s="103">
        <f>ROUNDDOWN(91/197,3)</f>
        <v>0.46100000000000002</v>
      </c>
    </row>
    <row r="10" spans="1:19" ht="30.6" customHeight="1" x14ac:dyDescent="0.45">
      <c r="A10" s="91" t="s">
        <v>8</v>
      </c>
      <c r="B10" s="99">
        <v>0.45700000000000002</v>
      </c>
      <c r="C10" s="100">
        <f>178/409</f>
        <v>0.4352078239608802</v>
      </c>
      <c r="D10" s="99">
        <v>0.46245823808686476</v>
      </c>
      <c r="E10" s="100">
        <v>0.46253229974160209</v>
      </c>
      <c r="F10" s="102">
        <v>0.44500000000000001</v>
      </c>
      <c r="G10" s="103">
        <f>ROUNDDOWN(197/429,3)</f>
        <v>0.45900000000000002</v>
      </c>
      <c r="H10" s="101">
        <v>0.51600000000000001</v>
      </c>
      <c r="I10" s="100">
        <f>103/206</f>
        <v>0.5</v>
      </c>
      <c r="J10" s="101">
        <v>0.5129087779690189</v>
      </c>
      <c r="K10" s="100">
        <v>0.5401069518716578</v>
      </c>
      <c r="L10" s="102">
        <v>0.498</v>
      </c>
      <c r="M10" s="103">
        <f>ROUNDDOWN(109/226,3)</f>
        <v>0.48199999999999998</v>
      </c>
      <c r="N10" s="101">
        <v>0.40300000000000002</v>
      </c>
      <c r="O10" s="100">
        <f>73/197</f>
        <v>0.37055837563451777</v>
      </c>
      <c r="P10" s="101">
        <v>0.41036717062634992</v>
      </c>
      <c r="Q10" s="100">
        <v>0.39</v>
      </c>
      <c r="R10" s="102">
        <v>0.38900000000000001</v>
      </c>
      <c r="S10" s="103">
        <f>ROUNDDOWN(88/203,3)</f>
        <v>0.433</v>
      </c>
    </row>
    <row r="11" spans="1:19" ht="30.6" customHeight="1" x14ac:dyDescent="0.45">
      <c r="A11" s="91" t="s">
        <v>9</v>
      </c>
      <c r="B11" s="99">
        <v>0.46200000000000002</v>
      </c>
      <c r="C11" s="100">
        <f>214/481</f>
        <v>0.44490644490644493</v>
      </c>
      <c r="D11" s="99">
        <v>0.45923212589879259</v>
      </c>
      <c r="E11" s="100">
        <v>0.44061302681992298</v>
      </c>
      <c r="F11" s="102">
        <v>0.46500000000000002</v>
      </c>
      <c r="G11" s="103">
        <f>ROUNDDOWN(253/531,3)</f>
        <v>0.47599999999999998</v>
      </c>
      <c r="H11" s="101">
        <v>0.50900000000000001</v>
      </c>
      <c r="I11" s="100">
        <f>117/236</f>
        <v>0.49576271186440679</v>
      </c>
      <c r="J11" s="101">
        <v>0.51570820021299257</v>
      </c>
      <c r="K11" s="100">
        <v>0.50194552529182879</v>
      </c>
      <c r="L11" s="102">
        <v>0.51100000000000001</v>
      </c>
      <c r="M11" s="103">
        <f>ROUNDDOWN(133/257,3)</f>
        <v>0.51700000000000002</v>
      </c>
      <c r="N11" s="101">
        <v>0.41899999999999998</v>
      </c>
      <c r="O11" s="100">
        <f>95/241</f>
        <v>0.39419087136929459</v>
      </c>
      <c r="P11" s="101">
        <v>0.40044309055663252</v>
      </c>
      <c r="Q11" s="100">
        <v>0.38257575757575757</v>
      </c>
      <c r="R11" s="102">
        <v>0.41699999999999998</v>
      </c>
      <c r="S11" s="103">
        <f>ROUNDDOWN(120/274,3)</f>
        <v>0.437</v>
      </c>
    </row>
    <row r="12" spans="1:19" ht="30.6" customHeight="1" x14ac:dyDescent="0.45">
      <c r="A12" s="91" t="s">
        <v>10</v>
      </c>
      <c r="B12" s="99">
        <v>0.47399999999999998</v>
      </c>
      <c r="C12" s="100">
        <f>283/585</f>
        <v>0.48376068376068376</v>
      </c>
      <c r="D12" s="99">
        <v>0.48601491742141717</v>
      </c>
      <c r="E12" s="100">
        <v>0.48027444253859403</v>
      </c>
      <c r="F12" s="102">
        <v>0.46800000000000003</v>
      </c>
      <c r="G12" s="103">
        <f>ROUNDDOWN(235/550,3)</f>
        <v>0.42699999999999999</v>
      </c>
      <c r="H12" s="101">
        <v>0.499</v>
      </c>
      <c r="I12" s="100">
        <f>134/292</f>
        <v>0.4589041095890411</v>
      </c>
      <c r="J12" s="101">
        <v>0.51145641295759814</v>
      </c>
      <c r="K12" s="100">
        <v>0.5404411764705882</v>
      </c>
      <c r="L12" s="102">
        <v>0.49299999999999999</v>
      </c>
      <c r="M12" s="103">
        <f>ROUNDDOWN(130/276,3)</f>
        <v>0.47099999999999997</v>
      </c>
      <c r="N12" s="101">
        <v>0.45100000000000001</v>
      </c>
      <c r="O12" s="100">
        <f>148/289</f>
        <v>0.51211072664359858</v>
      </c>
      <c r="P12" s="101">
        <v>0.45998383185125302</v>
      </c>
      <c r="Q12" s="100">
        <v>0.42765273311897106</v>
      </c>
      <c r="R12" s="102">
        <v>0.443</v>
      </c>
      <c r="S12" s="103">
        <f>ROUNDDOWN(105/274,3)</f>
        <v>0.38300000000000001</v>
      </c>
    </row>
    <row r="13" spans="1:19" ht="30.6" customHeight="1" x14ac:dyDescent="0.45">
      <c r="A13" s="91" t="s">
        <v>11</v>
      </c>
      <c r="B13" s="99">
        <v>0.55100000000000005</v>
      </c>
      <c r="C13" s="100">
        <f>216/406</f>
        <v>0.53201970443349755</v>
      </c>
      <c r="D13" s="99">
        <v>0.55942848170827442</v>
      </c>
      <c r="E13" s="100">
        <v>0.56763285024154586</v>
      </c>
      <c r="F13" s="102">
        <v>0.56899999999999995</v>
      </c>
      <c r="G13" s="103">
        <f>ROUNDDOWN(211/402,3)</f>
        <v>0.52400000000000002</v>
      </c>
      <c r="H13" s="101">
        <v>0.56599999999999995</v>
      </c>
      <c r="I13" s="100">
        <f>96/197</f>
        <v>0.48730964467005078</v>
      </c>
      <c r="J13" s="101">
        <v>0.56660293180369659</v>
      </c>
      <c r="K13" s="100">
        <v>0.57635467980295563</v>
      </c>
      <c r="L13" s="102">
        <v>0.55800000000000005</v>
      </c>
      <c r="M13" s="103">
        <f>ROUNDDOWN(104/189,3)</f>
        <v>0.55000000000000004</v>
      </c>
      <c r="N13" s="101">
        <v>0.53800000000000003</v>
      </c>
      <c r="O13" s="100">
        <f>118/207</f>
        <v>0.57004830917874394</v>
      </c>
      <c r="P13" s="101">
        <v>0.55246053853296195</v>
      </c>
      <c r="Q13" s="100">
        <v>0.55924170616113744</v>
      </c>
      <c r="R13" s="102">
        <v>0.57899999999999996</v>
      </c>
      <c r="S13" s="103">
        <f>ROUNDDOWN(107/213,3)</f>
        <v>0.502</v>
      </c>
    </row>
    <row r="14" spans="1:19" ht="30.6" customHeight="1" x14ac:dyDescent="0.45">
      <c r="A14" s="91" t="s">
        <v>12</v>
      </c>
      <c r="B14" s="99">
        <v>0.65100000000000002</v>
      </c>
      <c r="C14" s="100">
        <f>309/471</f>
        <v>0.6560509554140127</v>
      </c>
      <c r="D14" s="99">
        <v>0.68162332094884248</v>
      </c>
      <c r="E14" s="100">
        <v>0.68218623481781382</v>
      </c>
      <c r="F14" s="102">
        <v>0.67300000000000004</v>
      </c>
      <c r="G14" s="103">
        <f>ROUNDDOWN(320/481,3)</f>
        <v>0.66500000000000004</v>
      </c>
      <c r="H14" s="101">
        <v>0.65800000000000003</v>
      </c>
      <c r="I14" s="100">
        <f>129/208</f>
        <v>0.62019230769230771</v>
      </c>
      <c r="J14" s="101">
        <v>0.69097651421508033</v>
      </c>
      <c r="K14" s="100">
        <v>0.69483568075117375</v>
      </c>
      <c r="L14" s="102">
        <v>0.68600000000000005</v>
      </c>
      <c r="M14" s="103">
        <f>ROUNDDOWN(138/210,3)</f>
        <v>0.65700000000000003</v>
      </c>
      <c r="N14" s="101">
        <v>0.64700000000000002</v>
      </c>
      <c r="O14" s="100">
        <f>179/259</f>
        <v>0.69111969111969107</v>
      </c>
      <c r="P14" s="101">
        <v>0.67357788410419994</v>
      </c>
      <c r="Q14" s="100">
        <v>0.67259786476868333</v>
      </c>
      <c r="R14" s="102">
        <v>0.66200000000000003</v>
      </c>
      <c r="S14" s="103">
        <f>ROUNDDOWN(182/271,3)</f>
        <v>0.67100000000000004</v>
      </c>
    </row>
    <row r="15" spans="1:19" ht="3.6" customHeight="1" x14ac:dyDescent="0.45">
      <c r="B15" s="104"/>
      <c r="C15" s="104"/>
      <c r="D15" s="104"/>
      <c r="E15" s="104"/>
    </row>
    <row r="16" spans="1:19" ht="30.6" customHeight="1" x14ac:dyDescent="0.45">
      <c r="A16" s="91" t="s">
        <v>13</v>
      </c>
      <c r="B16" s="102">
        <v>0.51700000000000002</v>
      </c>
      <c r="C16" s="103">
        <f>1370/2740</f>
        <v>0.5</v>
      </c>
      <c r="D16" s="102">
        <v>0.52500000000000002</v>
      </c>
      <c r="E16" s="103">
        <v>0.51727823298895614</v>
      </c>
      <c r="F16" s="102">
        <v>0.52</v>
      </c>
      <c r="G16" s="103">
        <f>ROUNDDOWN(1401/2768,3)</f>
        <v>0.50600000000000001</v>
      </c>
      <c r="H16" s="105">
        <v>0.55000000000000004</v>
      </c>
      <c r="I16" s="103">
        <f>681/1333</f>
        <v>0.51087771942985749</v>
      </c>
      <c r="J16" s="105">
        <v>0.55597283671159581</v>
      </c>
      <c r="K16" s="103">
        <v>0.55840241145440839</v>
      </c>
      <c r="L16" s="102">
        <v>0.54700000000000004</v>
      </c>
      <c r="M16" s="103">
        <f>ROUNDDOWN(708/1336,3)</f>
        <v>0.52900000000000003</v>
      </c>
      <c r="N16" s="105">
        <v>0.48799999999999999</v>
      </c>
      <c r="O16" s="103">
        <f>680/1379</f>
        <v>0.49311094996374183</v>
      </c>
      <c r="P16" s="105">
        <v>0.49558470726353937</v>
      </c>
      <c r="Q16" s="103">
        <v>0.48032564450474896</v>
      </c>
      <c r="R16" s="102">
        <v>0.49399999999999999</v>
      </c>
      <c r="S16" s="103">
        <f>ROUNDDOWN(693/1432,3)</f>
        <v>0.48299999999999998</v>
      </c>
    </row>
  </sheetData>
  <mergeCells count="12">
    <mergeCell ref="B5:C5"/>
    <mergeCell ref="B4:G4"/>
    <mergeCell ref="H4:M4"/>
    <mergeCell ref="N4:S4"/>
    <mergeCell ref="D5:E5"/>
    <mergeCell ref="F5:G5"/>
    <mergeCell ref="H5:I5"/>
    <mergeCell ref="J5:K5"/>
    <mergeCell ref="L5:M5"/>
    <mergeCell ref="N5:O5"/>
    <mergeCell ref="P5:Q5"/>
    <mergeCell ref="R5:S5"/>
  </mergeCells>
  <phoneticPr fontId="2"/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7836-3E23-456F-B7B9-0EF1127CB971}">
  <dimension ref="A1:G19"/>
  <sheetViews>
    <sheetView showGridLines="0" view="pageBreakPreview" zoomScaleNormal="100" zoomScaleSheetLayoutView="100" workbookViewId="0"/>
  </sheetViews>
  <sheetFormatPr defaultRowHeight="14.4" x14ac:dyDescent="0.45"/>
  <cols>
    <col min="1" max="1" width="32.5" style="89" bestFit="1" customWidth="1"/>
    <col min="2" max="16384" width="8.796875" style="89"/>
  </cols>
  <sheetData>
    <row r="1" spans="1:7" ht="21" x14ac:dyDescent="0.45">
      <c r="A1" s="106" t="s">
        <v>215</v>
      </c>
    </row>
    <row r="2" spans="1:7" s="120" customFormat="1" x14ac:dyDescent="0.45">
      <c r="A2" s="116"/>
      <c r="B2" s="117" t="s">
        <v>0</v>
      </c>
      <c r="C2" s="118" t="s">
        <v>82</v>
      </c>
      <c r="D2" s="119">
        <v>1403</v>
      </c>
      <c r="E2" s="117" t="s">
        <v>0</v>
      </c>
      <c r="F2" s="118" t="s">
        <v>82</v>
      </c>
      <c r="G2" s="119">
        <v>21063</v>
      </c>
    </row>
    <row r="3" spans="1:7" s="120" customFormat="1" x14ac:dyDescent="0.45">
      <c r="A3" s="116"/>
      <c r="B3" s="117" t="s">
        <v>1</v>
      </c>
      <c r="C3" s="118" t="s">
        <v>82</v>
      </c>
      <c r="D3" s="120">
        <v>697</v>
      </c>
      <c r="E3" s="117"/>
      <c r="F3" s="118"/>
      <c r="G3" s="119"/>
    </row>
    <row r="4" spans="1:7" s="120" customFormat="1" x14ac:dyDescent="0.45">
      <c r="A4" s="116"/>
      <c r="B4" s="117" t="s">
        <v>2</v>
      </c>
      <c r="C4" s="118" t="s">
        <v>82</v>
      </c>
      <c r="D4" s="120">
        <v>697</v>
      </c>
      <c r="E4" s="117"/>
      <c r="F4" s="118"/>
      <c r="G4" s="119"/>
    </row>
    <row r="5" spans="1:7" ht="18" customHeight="1" x14ac:dyDescent="0.45">
      <c r="A5" s="280"/>
      <c r="B5" s="278" t="s">
        <v>39</v>
      </c>
      <c r="C5" s="278"/>
      <c r="D5" s="278"/>
      <c r="E5" s="279" t="s">
        <v>3</v>
      </c>
      <c r="F5" s="279"/>
      <c r="G5" s="279"/>
    </row>
    <row r="6" spans="1:7" ht="18" customHeight="1" x14ac:dyDescent="0.45">
      <c r="A6" s="281"/>
      <c r="B6" s="93" t="s">
        <v>0</v>
      </c>
      <c r="C6" s="165" t="s">
        <v>1</v>
      </c>
      <c r="D6" s="93" t="s">
        <v>2</v>
      </c>
      <c r="E6" s="92" t="s">
        <v>0</v>
      </c>
      <c r="F6" s="92" t="s">
        <v>1</v>
      </c>
      <c r="G6" s="92" t="s">
        <v>2</v>
      </c>
    </row>
    <row r="7" spans="1:7" ht="18" customHeight="1" x14ac:dyDescent="0.45">
      <c r="A7" s="91" t="s">
        <v>71</v>
      </c>
      <c r="B7" s="121">
        <f>1012/D2*100</f>
        <v>72.131147540983605</v>
      </c>
      <c r="C7" s="121">
        <f>502/D3*100</f>
        <v>72.022955523672877</v>
      </c>
      <c r="D7" s="121">
        <f>503/D4*100</f>
        <v>72.166427546628412</v>
      </c>
      <c r="E7" s="123">
        <v>74.599999999999994</v>
      </c>
      <c r="F7" s="123">
        <v>74</v>
      </c>
      <c r="G7" s="123">
        <v>75.3</v>
      </c>
    </row>
    <row r="8" spans="1:7" ht="18" customHeight="1" x14ac:dyDescent="0.45">
      <c r="A8" s="91" t="s">
        <v>72</v>
      </c>
      <c r="B8" s="121">
        <f>716/D2*100</f>
        <v>51.033499643620814</v>
      </c>
      <c r="C8" s="121">
        <f>361/D3*100</f>
        <v>51.793400286944049</v>
      </c>
      <c r="D8" s="121">
        <f>352/D4*100</f>
        <v>50.502152080344331</v>
      </c>
      <c r="E8" s="123">
        <v>51</v>
      </c>
      <c r="F8" s="123">
        <v>51.2</v>
      </c>
      <c r="G8" s="123">
        <v>51.1</v>
      </c>
    </row>
    <row r="9" spans="1:7" ht="18" customHeight="1" x14ac:dyDescent="0.45">
      <c r="A9" s="91" t="s">
        <v>73</v>
      </c>
      <c r="B9" s="121">
        <f>534/D2*100</f>
        <v>38.061297220242338</v>
      </c>
      <c r="C9" s="121">
        <f>254/D3*100</f>
        <v>36.441893830703016</v>
      </c>
      <c r="D9" s="121">
        <f>278/D4*100</f>
        <v>39.885222381635579</v>
      </c>
      <c r="E9" s="123">
        <v>37.299999999999997</v>
      </c>
      <c r="F9" s="123">
        <v>34.299999999999997</v>
      </c>
      <c r="G9" s="123">
        <v>40.700000000000003</v>
      </c>
    </row>
    <row r="10" spans="1:7" ht="18" customHeight="1" x14ac:dyDescent="0.45">
      <c r="A10" s="91" t="s">
        <v>74</v>
      </c>
      <c r="B10" s="121">
        <f>514/D2*100</f>
        <v>36.635780470420528</v>
      </c>
      <c r="C10" s="121">
        <f>270/D3*100</f>
        <v>38.737446197991396</v>
      </c>
      <c r="D10" s="121">
        <f>241/D4*100</f>
        <v>34.576757532281206</v>
      </c>
      <c r="E10" s="123">
        <v>36.9</v>
      </c>
      <c r="F10" s="123">
        <v>36.1</v>
      </c>
      <c r="G10" s="123">
        <v>37.700000000000003</v>
      </c>
    </row>
    <row r="11" spans="1:7" ht="18" customHeight="1" x14ac:dyDescent="0.45">
      <c r="A11" s="91" t="s">
        <v>75</v>
      </c>
      <c r="B11" s="121">
        <f>429/D2*100</f>
        <v>30.577334283677832</v>
      </c>
      <c r="C11" s="121">
        <f>206/D3*100</f>
        <v>29.555236728837876</v>
      </c>
      <c r="D11" s="121">
        <f>221/D4*100</f>
        <v>31.707317073170731</v>
      </c>
      <c r="E11" s="123">
        <v>31.2</v>
      </c>
      <c r="F11" s="123">
        <v>30.4</v>
      </c>
      <c r="G11" s="123">
        <v>32.1</v>
      </c>
    </row>
    <row r="12" spans="1:7" ht="18" customHeight="1" x14ac:dyDescent="0.45">
      <c r="A12" s="124" t="s">
        <v>76</v>
      </c>
      <c r="B12" s="121">
        <f>270/D2*100</f>
        <v>19.244476122594438</v>
      </c>
      <c r="C12" s="121">
        <f>114/D3*100</f>
        <v>16.355810616929698</v>
      </c>
      <c r="D12" s="121">
        <f>155/D4*100</f>
        <v>22.238163558106169</v>
      </c>
      <c r="E12" s="125">
        <v>20.7</v>
      </c>
      <c r="F12" s="125">
        <v>18.100000000000001</v>
      </c>
      <c r="G12" s="125">
        <v>23.7</v>
      </c>
    </row>
    <row r="13" spans="1:7" ht="18" customHeight="1" x14ac:dyDescent="0.45">
      <c r="A13" s="124" t="s">
        <v>77</v>
      </c>
      <c r="B13" s="121">
        <f>120/D2*100</f>
        <v>8.5531004989308634</v>
      </c>
      <c r="C13" s="121">
        <f>54/D3*100</f>
        <v>7.747489239598278</v>
      </c>
      <c r="D13" s="121">
        <f>66/D4*100</f>
        <v>9.469153515064562</v>
      </c>
      <c r="E13" s="125">
        <v>9</v>
      </c>
      <c r="F13" s="125">
        <v>7.9</v>
      </c>
      <c r="G13" s="125">
        <v>10.4</v>
      </c>
    </row>
    <row r="14" spans="1:7" ht="18" customHeight="1" x14ac:dyDescent="0.45">
      <c r="A14" s="124" t="s">
        <v>78</v>
      </c>
      <c r="B14" s="121">
        <f>90/D2*100</f>
        <v>6.4148253741981467</v>
      </c>
      <c r="C14" s="121">
        <f>14/D3*100</f>
        <v>2.0086083213773311</v>
      </c>
      <c r="D14" s="121">
        <f>76/D4*100</f>
        <v>10.9038737446198</v>
      </c>
      <c r="E14" s="125">
        <v>6.5</v>
      </c>
      <c r="F14" s="125">
        <v>2.7</v>
      </c>
      <c r="G14" s="125">
        <v>10.6</v>
      </c>
    </row>
    <row r="15" spans="1:7" ht="18" customHeight="1" x14ac:dyDescent="0.45">
      <c r="A15" s="124" t="s">
        <v>79</v>
      </c>
      <c r="B15" s="121">
        <f>87/D2*100</f>
        <v>6.2009978617248755</v>
      </c>
      <c r="C15" s="121">
        <f>56/D3*100</f>
        <v>8.0344332855093246</v>
      </c>
      <c r="D15" s="121">
        <f>31/D4*100</f>
        <v>4.4476327116212344</v>
      </c>
      <c r="E15" s="125">
        <v>6.5</v>
      </c>
      <c r="F15" s="125">
        <v>7.9</v>
      </c>
      <c r="G15" s="125">
        <v>4.9000000000000004</v>
      </c>
    </row>
    <row r="16" spans="1:7" ht="18" customHeight="1" x14ac:dyDescent="0.45">
      <c r="A16" s="124" t="s">
        <v>80</v>
      </c>
      <c r="B16" s="121">
        <f>76/D2*100</f>
        <v>5.4169636493228799</v>
      </c>
      <c r="C16" s="121">
        <f>45/D3*100</f>
        <v>6.4562410329985651</v>
      </c>
      <c r="D16" s="121">
        <f>31/D4*100</f>
        <v>4.4476327116212344</v>
      </c>
      <c r="E16" s="125">
        <v>6.3</v>
      </c>
      <c r="F16" s="125">
        <v>7.2</v>
      </c>
      <c r="G16" s="125">
        <v>5.3</v>
      </c>
    </row>
    <row r="17" spans="1:7" ht="18" customHeight="1" x14ac:dyDescent="0.45">
      <c r="A17" s="124" t="s">
        <v>81</v>
      </c>
      <c r="B17" s="121">
        <f>56/D2*100</f>
        <v>3.9914468995010695</v>
      </c>
      <c r="C17" s="121">
        <f>23/D3*100</f>
        <v>3.2998565279770444</v>
      </c>
      <c r="D17" s="121">
        <f>33/D4*100</f>
        <v>4.734576757532281</v>
      </c>
      <c r="E17" s="125">
        <v>4.3</v>
      </c>
      <c r="F17" s="125">
        <v>3.6</v>
      </c>
      <c r="G17" s="125">
        <v>5</v>
      </c>
    </row>
    <row r="18" spans="1:7" x14ac:dyDescent="0.45">
      <c r="A18" s="120"/>
      <c r="E18" s="120"/>
      <c r="F18" s="120"/>
      <c r="G18" s="120"/>
    </row>
    <row r="19" spans="1:7" x14ac:dyDescent="0.45">
      <c r="A19" s="120"/>
      <c r="E19" s="120"/>
      <c r="F19" s="120"/>
      <c r="G19" s="120"/>
    </row>
  </sheetData>
  <mergeCells count="3">
    <mergeCell ref="B5:D5"/>
    <mergeCell ref="E5:G5"/>
    <mergeCell ref="A5:A6"/>
  </mergeCells>
  <phoneticPr fontId="2"/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F74B-095B-4B09-AC00-0A34C79AB359}">
  <sheetPr>
    <pageSetUpPr fitToPage="1"/>
  </sheetPr>
  <dimension ref="A1:Q19"/>
  <sheetViews>
    <sheetView showGridLines="0" view="pageBreakPreview" zoomScale="85" zoomScaleNormal="100" zoomScaleSheetLayoutView="85" workbookViewId="0"/>
  </sheetViews>
  <sheetFormatPr defaultRowHeight="14.4" x14ac:dyDescent="0.45"/>
  <cols>
    <col min="1" max="1" width="8.796875" style="89"/>
    <col min="2" max="2" width="16.5" style="89" bestFit="1" customWidth="1"/>
    <col min="3" max="3" width="8.69921875" style="89" customWidth="1"/>
    <col min="4" max="12" width="8.796875" style="89"/>
    <col min="13" max="13" width="1.69921875" style="120" customWidth="1"/>
    <col min="14" max="16384" width="8.796875" style="89"/>
  </cols>
  <sheetData>
    <row r="1" spans="1:17" ht="21" x14ac:dyDescent="0.45">
      <c r="A1" s="106" t="s">
        <v>216</v>
      </c>
    </row>
    <row r="2" spans="1:17" ht="203.4" customHeight="1" x14ac:dyDescent="0.45">
      <c r="A2" s="282" t="s">
        <v>39</v>
      </c>
      <c r="B2" s="282"/>
      <c r="C2" s="161" t="s">
        <v>0</v>
      </c>
      <c r="D2" s="161" t="s">
        <v>169</v>
      </c>
      <c r="E2" s="161" t="s">
        <v>170</v>
      </c>
      <c r="F2" s="161" t="s">
        <v>171</v>
      </c>
      <c r="G2" s="161" t="s">
        <v>172</v>
      </c>
      <c r="H2" s="161" t="s">
        <v>175</v>
      </c>
      <c r="I2" s="161" t="s">
        <v>176</v>
      </c>
      <c r="J2" s="161" t="s">
        <v>173</v>
      </c>
      <c r="K2" s="161" t="s">
        <v>174</v>
      </c>
      <c r="L2" s="161" t="s">
        <v>36</v>
      </c>
      <c r="M2" s="173"/>
      <c r="N2" s="162" t="s">
        <v>177</v>
      </c>
      <c r="O2" s="162" t="s">
        <v>178</v>
      </c>
      <c r="P2" s="161" t="s">
        <v>179</v>
      </c>
    </row>
    <row r="3" spans="1:17" ht="19.8" customHeight="1" x14ac:dyDescent="0.45">
      <c r="A3" s="283" t="s">
        <v>154</v>
      </c>
      <c r="B3" s="284"/>
      <c r="C3" s="166">
        <v>2740</v>
      </c>
      <c r="D3" s="171">
        <f>471/C3*100</f>
        <v>17.189781021897808</v>
      </c>
      <c r="E3" s="171">
        <f>423/C3*100</f>
        <v>15.437956204379564</v>
      </c>
      <c r="F3" s="171">
        <f>336/C3*100</f>
        <v>12.262773722627736</v>
      </c>
      <c r="G3" s="171">
        <f>297/C3*100</f>
        <v>10.839416058394161</v>
      </c>
      <c r="H3" s="171">
        <f>155/C3*100</f>
        <v>5.6569343065693429</v>
      </c>
      <c r="I3" s="171">
        <f>45/C3*100</f>
        <v>1.6423357664233578</v>
      </c>
      <c r="J3" s="171">
        <f>41/C3*100</f>
        <v>1.4963503649635037</v>
      </c>
      <c r="K3" s="171">
        <f>88/C3*100</f>
        <v>3.2116788321167884</v>
      </c>
      <c r="L3" s="171">
        <f>168/C3*100</f>
        <v>6.1313868613138682</v>
      </c>
      <c r="M3" s="172"/>
      <c r="N3" s="171">
        <f>SUM(D3:G3)</f>
        <v>55.729927007299267</v>
      </c>
      <c r="O3" s="171">
        <v>50</v>
      </c>
      <c r="P3" s="171">
        <f>N3-O3</f>
        <v>5.729927007299267</v>
      </c>
      <c r="Q3" s="108"/>
    </row>
    <row r="4" spans="1:17" ht="19.8" customHeight="1" x14ac:dyDescent="0.45">
      <c r="A4" s="279" t="s">
        <v>20</v>
      </c>
      <c r="B4" s="91" t="s">
        <v>155</v>
      </c>
      <c r="C4" s="166">
        <v>1333</v>
      </c>
      <c r="D4" s="171">
        <f>243/C4*100</f>
        <v>18.229557389347338</v>
      </c>
      <c r="E4" s="171">
        <f>197/C4*100</f>
        <v>14.778694673668417</v>
      </c>
      <c r="F4" s="171">
        <f>164/C4*100</f>
        <v>12.303075768942236</v>
      </c>
      <c r="G4" s="171">
        <f>163/C4*100</f>
        <v>12.228057014253563</v>
      </c>
      <c r="H4" s="171">
        <f>86/C4*100</f>
        <v>6.4516129032258061</v>
      </c>
      <c r="I4" s="171">
        <f>31/C4*100</f>
        <v>2.3255813953488373</v>
      </c>
      <c r="J4" s="171">
        <f>23/C4*100</f>
        <v>1.72543135783946</v>
      </c>
      <c r="K4" s="171">
        <f>34/C4*100</f>
        <v>2.5506376594148539</v>
      </c>
      <c r="L4" s="171">
        <f>69/C4*100</f>
        <v>5.1762940735183793</v>
      </c>
      <c r="M4" s="172"/>
      <c r="N4" s="171">
        <f t="shared" ref="N4:N17" si="0">SUM(D4:G4)</f>
        <v>57.539384846211554</v>
      </c>
      <c r="O4" s="171">
        <v>51.1</v>
      </c>
      <c r="P4" s="171">
        <f t="shared" ref="P4:P17" si="1">N4-O4</f>
        <v>6.4393848462115528</v>
      </c>
      <c r="Q4" s="108"/>
    </row>
    <row r="5" spans="1:17" ht="19.8" customHeight="1" x14ac:dyDescent="0.45">
      <c r="A5" s="279"/>
      <c r="B5" s="91" t="s">
        <v>156</v>
      </c>
      <c r="C5" s="166">
        <v>1379</v>
      </c>
      <c r="D5" s="171">
        <f>226/C5*100</f>
        <v>16.388687454677303</v>
      </c>
      <c r="E5" s="171">
        <f>223/C5*100</f>
        <v>16.171138506163889</v>
      </c>
      <c r="F5" s="171">
        <f>169/C5*100</f>
        <v>12.255257432922408</v>
      </c>
      <c r="G5" s="171">
        <f>128/C5*100</f>
        <v>9.2820884699057284</v>
      </c>
      <c r="H5" s="171">
        <f>69/C5*100</f>
        <v>5.0036258158085571</v>
      </c>
      <c r="I5" s="171">
        <f>14/C5*100</f>
        <v>1.015228426395939</v>
      </c>
      <c r="J5" s="171">
        <f>18/C5*100</f>
        <v>1.3052936910804931</v>
      </c>
      <c r="K5" s="171">
        <f>54/C5*100</f>
        <v>3.9158810732414793</v>
      </c>
      <c r="L5" s="171">
        <f>96/C5*100</f>
        <v>6.9615663524292968</v>
      </c>
      <c r="M5" s="172"/>
      <c r="N5" s="171">
        <f t="shared" si="0"/>
        <v>54.097171863669331</v>
      </c>
      <c r="O5" s="171">
        <v>49.3</v>
      </c>
      <c r="P5" s="171">
        <f t="shared" si="1"/>
        <v>4.7971718636693339</v>
      </c>
      <c r="Q5" s="108"/>
    </row>
    <row r="6" spans="1:17" ht="19.8" customHeight="1" x14ac:dyDescent="0.45">
      <c r="A6" s="279" t="s">
        <v>21</v>
      </c>
      <c r="B6" s="91" t="s">
        <v>157</v>
      </c>
      <c r="C6" s="166">
        <v>194</v>
      </c>
      <c r="D6" s="171">
        <f>18/C6*100</f>
        <v>9.2783505154639183</v>
      </c>
      <c r="E6" s="171">
        <f>36/C6*100</f>
        <v>18.556701030927837</v>
      </c>
      <c r="F6" s="171">
        <f>31/C6*100</f>
        <v>15.979381443298967</v>
      </c>
      <c r="G6" s="171">
        <f>27/C6*100</f>
        <v>13.917525773195877</v>
      </c>
      <c r="H6" s="171">
        <f>19/C6*100</f>
        <v>9.7938144329896915</v>
      </c>
      <c r="I6" s="171">
        <f>6/C6*100</f>
        <v>3.0927835051546393</v>
      </c>
      <c r="J6" s="171">
        <f>4/C6*100</f>
        <v>2.0618556701030926</v>
      </c>
      <c r="K6" s="171">
        <f>5/C6*100</f>
        <v>2.5773195876288657</v>
      </c>
      <c r="L6" s="171">
        <f>14/C6*100</f>
        <v>7.216494845360824</v>
      </c>
      <c r="M6" s="172"/>
      <c r="N6" s="171">
        <f t="shared" si="0"/>
        <v>57.731958762886599</v>
      </c>
      <c r="O6" s="171">
        <v>52.6</v>
      </c>
      <c r="P6" s="171">
        <f t="shared" si="1"/>
        <v>5.1319587628865975</v>
      </c>
      <c r="Q6" s="109"/>
    </row>
    <row r="7" spans="1:17" ht="19.8" customHeight="1" x14ac:dyDescent="0.45">
      <c r="A7" s="279"/>
      <c r="B7" s="91" t="s">
        <v>158</v>
      </c>
      <c r="C7" s="166">
        <v>206</v>
      </c>
      <c r="D7" s="171">
        <f>34/C7*100</f>
        <v>16.50485436893204</v>
      </c>
      <c r="E7" s="171">
        <f>29/C7*100</f>
        <v>14.077669902912621</v>
      </c>
      <c r="F7" s="171">
        <f>23/C7*100</f>
        <v>11.165048543689322</v>
      </c>
      <c r="G7" s="171">
        <f>33/C7*100</f>
        <v>16.019417475728158</v>
      </c>
      <c r="H7" s="171">
        <f>12/C7*100</f>
        <v>5.825242718446602</v>
      </c>
      <c r="I7" s="171">
        <f>5/C7*100</f>
        <v>2.4271844660194173</v>
      </c>
      <c r="J7" s="171">
        <f>3/C7*100</f>
        <v>1.4563106796116505</v>
      </c>
      <c r="K7" s="171">
        <f>4/C7*100</f>
        <v>1.9417475728155338</v>
      </c>
      <c r="L7" s="171">
        <f>9/C7*100</f>
        <v>4.3689320388349513</v>
      </c>
      <c r="M7" s="172"/>
      <c r="N7" s="171">
        <f t="shared" si="0"/>
        <v>57.766990291262147</v>
      </c>
      <c r="O7" s="171">
        <v>50</v>
      </c>
      <c r="P7" s="171">
        <f t="shared" si="1"/>
        <v>7.7669902912621467</v>
      </c>
      <c r="Q7" s="109"/>
    </row>
    <row r="8" spans="1:17" ht="19.8" customHeight="1" x14ac:dyDescent="0.45">
      <c r="A8" s="279"/>
      <c r="B8" s="91" t="s">
        <v>159</v>
      </c>
      <c r="C8" s="166">
        <v>236</v>
      </c>
      <c r="D8" s="171">
        <f>37/C8*100</f>
        <v>15.677966101694915</v>
      </c>
      <c r="E8" s="171">
        <f>25/C8*100</f>
        <v>10.59322033898305</v>
      </c>
      <c r="F8" s="171">
        <f>41/C8*100</f>
        <v>17.372881355932204</v>
      </c>
      <c r="G8" s="171">
        <f>27/C8*100</f>
        <v>11.440677966101696</v>
      </c>
      <c r="H8" s="171">
        <f>15/C8*100</f>
        <v>6.3559322033898304</v>
      </c>
      <c r="I8" s="171">
        <f>2/C8*100</f>
        <v>0.84745762711864403</v>
      </c>
      <c r="J8" s="171">
        <f>6/C8*100</f>
        <v>2.5423728813559325</v>
      </c>
      <c r="K8" s="171">
        <f>10/C8*100</f>
        <v>4.2372881355932197</v>
      </c>
      <c r="L8" s="171">
        <f>12/C8*100</f>
        <v>5.0847457627118651</v>
      </c>
      <c r="M8" s="172"/>
      <c r="N8" s="171">
        <f t="shared" si="0"/>
        <v>55.084745762711869</v>
      </c>
      <c r="O8" s="171">
        <v>49.6</v>
      </c>
      <c r="P8" s="171">
        <f t="shared" si="1"/>
        <v>5.4847457627118672</v>
      </c>
      <c r="Q8" s="109"/>
    </row>
    <row r="9" spans="1:17" ht="19.8" customHeight="1" x14ac:dyDescent="0.45">
      <c r="A9" s="279"/>
      <c r="B9" s="91" t="s">
        <v>160</v>
      </c>
      <c r="C9" s="166">
        <v>292</v>
      </c>
      <c r="D9" s="171">
        <f>55/C9*100</f>
        <v>18.835616438356166</v>
      </c>
      <c r="E9" s="171">
        <f>31/C9*100</f>
        <v>10.616438356164384</v>
      </c>
      <c r="F9" s="171">
        <f>28/C9*100</f>
        <v>9.5890410958904102</v>
      </c>
      <c r="G9" s="171">
        <f>39/C9*100</f>
        <v>13.356164383561644</v>
      </c>
      <c r="H9" s="171">
        <f>20/C9*100</f>
        <v>6.8493150684931505</v>
      </c>
      <c r="I9" s="171">
        <f>10/C9*100</f>
        <v>3.4246575342465753</v>
      </c>
      <c r="J9" s="171">
        <f>4/C9*100</f>
        <v>1.3698630136986301</v>
      </c>
      <c r="K9" s="171">
        <f>8/C9*100</f>
        <v>2.7397260273972601</v>
      </c>
      <c r="L9" s="171">
        <f>21/C9*100</f>
        <v>7.1917808219178081</v>
      </c>
      <c r="M9" s="172"/>
      <c r="N9" s="171">
        <f t="shared" si="0"/>
        <v>52.397260273972606</v>
      </c>
      <c r="O9" s="171">
        <v>45.9</v>
      </c>
      <c r="P9" s="171">
        <f t="shared" si="1"/>
        <v>6.4972602739726071</v>
      </c>
      <c r="Q9" s="109"/>
    </row>
    <row r="10" spans="1:17" ht="19.8" customHeight="1" x14ac:dyDescent="0.45">
      <c r="A10" s="279"/>
      <c r="B10" s="91" t="s">
        <v>161</v>
      </c>
      <c r="C10" s="166">
        <v>197</v>
      </c>
      <c r="D10" s="171">
        <f>40/C10*100</f>
        <v>20.304568527918782</v>
      </c>
      <c r="E10" s="171">
        <f>30/C10*100</f>
        <v>15.228426395939088</v>
      </c>
      <c r="F10" s="171">
        <f>19/C10*100</f>
        <v>9.6446700507614214</v>
      </c>
      <c r="G10" s="171">
        <f>20/C10*100</f>
        <v>10.152284263959391</v>
      </c>
      <c r="H10" s="171">
        <f>18/C10*100</f>
        <v>9.1370558375634516</v>
      </c>
      <c r="I10" s="171">
        <f>4/C10*100</f>
        <v>2.030456852791878</v>
      </c>
      <c r="J10" s="171">
        <f>4/C10*100</f>
        <v>2.030456852791878</v>
      </c>
      <c r="K10" s="171">
        <f>6/C10*100</f>
        <v>3.0456852791878175</v>
      </c>
      <c r="L10" s="171">
        <f>9/C10*100</f>
        <v>4.5685279187817258</v>
      </c>
      <c r="M10" s="172"/>
      <c r="N10" s="171">
        <f t="shared" si="0"/>
        <v>55.329949238578678</v>
      </c>
      <c r="O10" s="171">
        <v>48.7</v>
      </c>
      <c r="P10" s="171">
        <f t="shared" si="1"/>
        <v>6.6299492385786749</v>
      </c>
      <c r="Q10" s="109"/>
    </row>
    <row r="11" spans="1:17" ht="19.8" customHeight="1" x14ac:dyDescent="0.45">
      <c r="A11" s="279"/>
      <c r="B11" s="91" t="s">
        <v>162</v>
      </c>
      <c r="C11" s="166">
        <v>208</v>
      </c>
      <c r="D11" s="171">
        <f>59/C11*100</f>
        <v>28.365384615384613</v>
      </c>
      <c r="E11" s="171">
        <f>46/C11*100</f>
        <v>22.115384615384613</v>
      </c>
      <c r="F11" s="171">
        <f>22/C11*100</f>
        <v>10.576923076923077</v>
      </c>
      <c r="G11" s="171">
        <f>17/C11*100</f>
        <v>8.1730769230769234</v>
      </c>
      <c r="H11" s="171">
        <f>2/C11*100</f>
        <v>0.96153846153846156</v>
      </c>
      <c r="I11" s="171">
        <f>4/C11*100</f>
        <v>1.9230769230769231</v>
      </c>
      <c r="J11" s="171">
        <f>2/C11*100</f>
        <v>0.96153846153846156</v>
      </c>
      <c r="K11" s="171">
        <f>1/C11*100</f>
        <v>0.48076923076923078</v>
      </c>
      <c r="L11" s="171">
        <f>4/C11*100</f>
        <v>1.9230769230769231</v>
      </c>
      <c r="M11" s="172"/>
      <c r="N11" s="171">
        <f t="shared" si="0"/>
        <v>69.230769230769226</v>
      </c>
      <c r="O11" s="171">
        <v>62</v>
      </c>
      <c r="P11" s="171">
        <f t="shared" si="1"/>
        <v>7.2307692307692264</v>
      </c>
      <c r="Q11" s="109"/>
    </row>
    <row r="12" spans="1:17" ht="19.8" customHeight="1" x14ac:dyDescent="0.45">
      <c r="A12" s="279"/>
      <c r="B12" s="91" t="s">
        <v>163</v>
      </c>
      <c r="C12" s="166">
        <v>186</v>
      </c>
      <c r="D12" s="171">
        <f>16/C12*100</f>
        <v>8.6021505376344098</v>
      </c>
      <c r="E12" s="171">
        <f>25/C12*100</f>
        <v>13.440860215053762</v>
      </c>
      <c r="F12" s="171">
        <f>25/C12*100</f>
        <v>13.440860215053762</v>
      </c>
      <c r="G12" s="171">
        <f>17/C12*100</f>
        <v>9.1397849462365599</v>
      </c>
      <c r="H12" s="171">
        <f>19/C12*100</f>
        <v>10.21505376344086</v>
      </c>
      <c r="I12" s="171">
        <f>5/C12*100</f>
        <v>2.6881720430107525</v>
      </c>
      <c r="J12" s="171">
        <f>8/C12*100</f>
        <v>4.3010752688172049</v>
      </c>
      <c r="K12" s="171">
        <f>9/C12*100</f>
        <v>4.838709677419355</v>
      </c>
      <c r="L12" s="171">
        <f>13/C12*100</f>
        <v>6.9892473118279561</v>
      </c>
      <c r="M12" s="172"/>
      <c r="N12" s="171">
        <f t="shared" si="0"/>
        <v>44.623655913978496</v>
      </c>
      <c r="O12" s="171">
        <v>36</v>
      </c>
      <c r="P12" s="171">
        <f t="shared" si="1"/>
        <v>8.6236559139784958</v>
      </c>
      <c r="Q12" s="109"/>
    </row>
    <row r="13" spans="1:17" ht="19.8" customHeight="1" x14ac:dyDescent="0.45">
      <c r="A13" s="279"/>
      <c r="B13" s="91" t="s">
        <v>164</v>
      </c>
      <c r="C13" s="166">
        <v>197</v>
      </c>
      <c r="D13" s="171">
        <f>18/C13*100</f>
        <v>9.1370558375634516</v>
      </c>
      <c r="E13" s="171">
        <f>20/C13*100</f>
        <v>10.152284263959391</v>
      </c>
      <c r="F13" s="171">
        <f>17/C13*100</f>
        <v>8.6294416243654819</v>
      </c>
      <c r="G13" s="171">
        <f>26/C13*100</f>
        <v>13.197969543147209</v>
      </c>
      <c r="H13" s="171">
        <f>13/C13*100</f>
        <v>6.5989847715736047</v>
      </c>
      <c r="I13" s="171">
        <f>3/C13*100</f>
        <v>1.5228426395939088</v>
      </c>
      <c r="J13" s="171">
        <f>1/C13*100</f>
        <v>0.50761421319796951</v>
      </c>
      <c r="K13" s="171">
        <f>16/C13*100</f>
        <v>8.1218274111675122</v>
      </c>
      <c r="L13" s="171">
        <f>28/C13*100</f>
        <v>14.213197969543149</v>
      </c>
      <c r="M13" s="172"/>
      <c r="N13" s="171">
        <f t="shared" si="0"/>
        <v>41.116751269035532</v>
      </c>
      <c r="O13" s="171">
        <v>37.1</v>
      </c>
      <c r="P13" s="171">
        <f t="shared" si="1"/>
        <v>4.0167512690355309</v>
      </c>
      <c r="Q13" s="109"/>
    </row>
    <row r="14" spans="1:17" ht="19.8" customHeight="1" x14ac:dyDescent="0.45">
      <c r="A14" s="279"/>
      <c r="B14" s="91" t="s">
        <v>165</v>
      </c>
      <c r="C14" s="166">
        <v>241</v>
      </c>
      <c r="D14" s="171">
        <f>28/C14*100</f>
        <v>11.618257261410788</v>
      </c>
      <c r="E14" s="171">
        <f>24/C14*100</f>
        <v>9.9585062240663902</v>
      </c>
      <c r="F14" s="171">
        <f>29/C14*100</f>
        <v>12.033195020746888</v>
      </c>
      <c r="G14" s="171">
        <f>27/C14*100</f>
        <v>11.20331950207469</v>
      </c>
      <c r="H14" s="171">
        <f>12/C14*100</f>
        <v>4.9792531120331951</v>
      </c>
      <c r="I14" s="171">
        <f>2/C14*100</f>
        <v>0.82987551867219922</v>
      </c>
      <c r="J14" s="171">
        <f>4/C14*100</f>
        <v>1.6597510373443984</v>
      </c>
      <c r="K14" s="171">
        <f>9/C14*100</f>
        <v>3.7344398340248963</v>
      </c>
      <c r="L14" s="171">
        <f>20/C14*100</f>
        <v>8.2987551867219906</v>
      </c>
      <c r="M14" s="172"/>
      <c r="N14" s="171">
        <f t="shared" si="0"/>
        <v>44.813278008298759</v>
      </c>
      <c r="O14" s="171">
        <v>39.4</v>
      </c>
      <c r="P14" s="171">
        <f t="shared" si="1"/>
        <v>5.4132780082987608</v>
      </c>
      <c r="Q14" s="109"/>
    </row>
    <row r="15" spans="1:17" ht="19.8" customHeight="1" x14ac:dyDescent="0.45">
      <c r="A15" s="279"/>
      <c r="B15" s="91" t="s">
        <v>166</v>
      </c>
      <c r="C15" s="166">
        <v>289</v>
      </c>
      <c r="D15" s="171">
        <f>45/C15*100</f>
        <v>15.570934256055363</v>
      </c>
      <c r="E15" s="171">
        <f>51/C15*100</f>
        <v>17.647058823529413</v>
      </c>
      <c r="F15" s="171">
        <f>38/C15*100</f>
        <v>13.148788927335639</v>
      </c>
      <c r="G15" s="171">
        <f>28/C15*100</f>
        <v>9.688581314878892</v>
      </c>
      <c r="H15" s="171">
        <f>11/C15*100</f>
        <v>3.8062283737024223</v>
      </c>
      <c r="I15" s="171">
        <f>2/C15*100</f>
        <v>0.69204152249134954</v>
      </c>
      <c r="J15" s="171">
        <f>3/C15*100</f>
        <v>1.0380622837370241</v>
      </c>
      <c r="K15" s="171">
        <f>9/C15*100</f>
        <v>3.1141868512110724</v>
      </c>
      <c r="L15" s="171">
        <f>19/C15*100</f>
        <v>6.5743944636678195</v>
      </c>
      <c r="M15" s="172"/>
      <c r="N15" s="171">
        <f t="shared" si="0"/>
        <v>56.055363321799305</v>
      </c>
      <c r="O15" s="171">
        <v>51.2</v>
      </c>
      <c r="P15" s="171">
        <f t="shared" si="1"/>
        <v>4.8553633217993024</v>
      </c>
      <c r="Q15" s="109"/>
    </row>
    <row r="16" spans="1:17" ht="19.8" customHeight="1" x14ac:dyDescent="0.45">
      <c r="A16" s="279"/>
      <c r="B16" s="91" t="s">
        <v>167</v>
      </c>
      <c r="C16" s="166">
        <v>207</v>
      </c>
      <c r="D16" s="171">
        <f>44/C16*100</f>
        <v>21.256038647342994</v>
      </c>
      <c r="E16" s="171">
        <f>33/C16*100</f>
        <v>15.942028985507244</v>
      </c>
      <c r="F16" s="171">
        <f>32/C16*100</f>
        <v>15.458937198067632</v>
      </c>
      <c r="G16" s="171">
        <f>14/C16*100</f>
        <v>6.7632850241545892</v>
      </c>
      <c r="H16" s="171">
        <f>5/C16*100</f>
        <v>2.4154589371980677</v>
      </c>
      <c r="I16" s="171">
        <f>2/C16*100</f>
        <v>0.96618357487922701</v>
      </c>
      <c r="J16" s="171">
        <f>2/C16*100</f>
        <v>0.96618357487922701</v>
      </c>
      <c r="K16" s="171">
        <f>7/C16*100</f>
        <v>3.3816425120772946</v>
      </c>
      <c r="L16" s="171">
        <f>8/C16*100</f>
        <v>3.8647342995169081</v>
      </c>
      <c r="M16" s="172"/>
      <c r="N16" s="171">
        <f t="shared" si="0"/>
        <v>59.420289855072461</v>
      </c>
      <c r="O16" s="171">
        <v>57</v>
      </c>
      <c r="P16" s="171">
        <f t="shared" si="1"/>
        <v>2.4202898550724612</v>
      </c>
      <c r="Q16" s="109"/>
    </row>
    <row r="17" spans="1:17" ht="19.8" customHeight="1" x14ac:dyDescent="0.45">
      <c r="A17" s="279"/>
      <c r="B17" s="91" t="s">
        <v>168</v>
      </c>
      <c r="C17" s="166">
        <v>259</v>
      </c>
      <c r="D17" s="171">
        <f>75/C17*100</f>
        <v>28.957528957528954</v>
      </c>
      <c r="E17" s="171">
        <f>70/C17*100</f>
        <v>27.027027027027028</v>
      </c>
      <c r="F17" s="171">
        <f>28/C17*100</f>
        <v>10.810810810810811</v>
      </c>
      <c r="G17" s="171">
        <f>16/C17*100</f>
        <v>6.1776061776061777</v>
      </c>
      <c r="H17" s="171">
        <f>9/C17*100</f>
        <v>3.4749034749034751</v>
      </c>
      <c r="I17" s="171">
        <f>0/C17*100</f>
        <v>0</v>
      </c>
      <c r="J17" s="171">
        <f>0/C17*100</f>
        <v>0</v>
      </c>
      <c r="K17" s="171">
        <f>4/C17*100</f>
        <v>1.5444015444015444</v>
      </c>
      <c r="L17" s="171">
        <f>8/C17*100</f>
        <v>3.0888030888030888</v>
      </c>
      <c r="M17" s="172"/>
      <c r="N17" s="171">
        <f t="shared" si="0"/>
        <v>72.972972972972968</v>
      </c>
      <c r="O17" s="171">
        <v>69.099999999999994</v>
      </c>
      <c r="P17" s="171">
        <f t="shared" si="1"/>
        <v>3.872972972972974</v>
      </c>
      <c r="Q17" s="109"/>
    </row>
    <row r="18" spans="1:17" x14ac:dyDescent="0.45"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7" x14ac:dyDescent="0.45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</sheetData>
  <mergeCells count="4">
    <mergeCell ref="A4:A5"/>
    <mergeCell ref="A6:A17"/>
    <mergeCell ref="A2:B2"/>
    <mergeCell ref="A3:B3"/>
  </mergeCells>
  <phoneticPr fontId="2"/>
  <pageMargins left="0.7" right="0.7" top="0.75" bottom="0.75" header="0.3" footer="0.3"/>
  <pageSetup paperSize="9" scale="85" orientation="landscape" r:id="rId1"/>
  <ignoredErrors>
    <ignoredError sqref="D4:L4 K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834E-9949-43FC-A5D7-EDA30EE444C6}">
  <sheetPr>
    <pageSetUpPr fitToPage="1"/>
  </sheetPr>
  <dimension ref="A1:AH43"/>
  <sheetViews>
    <sheetView showGridLines="0" view="pageBreakPreview" topLeftCell="A4" zoomScale="70" zoomScaleNormal="85" zoomScaleSheetLayoutView="70" workbookViewId="0">
      <selection activeCell="AK15" sqref="AK15"/>
    </sheetView>
  </sheetViews>
  <sheetFormatPr defaultRowHeight="14.4" x14ac:dyDescent="0.45"/>
  <cols>
    <col min="1" max="1" width="11.69921875" style="89" customWidth="1"/>
    <col min="2" max="19" width="8.796875" style="89" customWidth="1"/>
    <col min="20" max="20" width="8.796875" style="188" customWidth="1"/>
    <col min="21" max="21" width="11.69921875" style="89" hidden="1" customWidth="1"/>
    <col min="22" max="22" width="8.19921875" style="89" hidden="1" customWidth="1"/>
    <col min="23" max="23" width="6.8984375" style="89" hidden="1" customWidth="1"/>
    <col min="24" max="24" width="8.69921875" style="89" hidden="1" customWidth="1"/>
    <col min="25" max="25" width="6.69921875" style="89" hidden="1" customWidth="1"/>
    <col min="26" max="26" width="8.19921875" style="89" hidden="1" customWidth="1"/>
    <col min="27" max="27" width="7" style="89" hidden="1" customWidth="1"/>
    <col min="28" max="28" width="8.796875" style="89" hidden="1" customWidth="1"/>
    <col min="29" max="29" width="6.796875" style="89" hidden="1" customWidth="1"/>
    <col min="30" max="30" width="8.19921875" style="89" hidden="1" customWidth="1"/>
    <col min="31" max="31" width="7" style="89" hidden="1" customWidth="1"/>
    <col min="32" max="32" width="8.796875" style="89" hidden="1" customWidth="1"/>
    <col min="33" max="33" width="6.796875" style="89" hidden="1" customWidth="1"/>
    <col min="34" max="34" width="5.3984375" style="89" bestFit="1" customWidth="1"/>
    <col min="35" max="16384" width="8.796875" style="89"/>
  </cols>
  <sheetData>
    <row r="1" spans="1:34" ht="30.6" customHeight="1" x14ac:dyDescent="0.45">
      <c r="A1" s="106" t="s">
        <v>217</v>
      </c>
      <c r="B1" s="88"/>
      <c r="C1" s="88"/>
      <c r="D1" s="88"/>
      <c r="E1" s="88"/>
      <c r="F1" s="88"/>
      <c r="G1" s="88"/>
      <c r="U1" s="106"/>
      <c r="V1" s="312" t="s">
        <v>152</v>
      </c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</row>
    <row r="2" spans="1:34" ht="30.6" customHeight="1" x14ac:dyDescent="0.45">
      <c r="A2" s="90"/>
      <c r="B2" s="288" t="s">
        <v>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90"/>
      <c r="T2" s="192"/>
      <c r="U2" s="111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</row>
    <row r="3" spans="1:34" ht="30.6" customHeight="1" x14ac:dyDescent="0.45">
      <c r="A3" s="90"/>
      <c r="B3" s="285" t="s">
        <v>204</v>
      </c>
      <c r="C3" s="286"/>
      <c r="D3" s="286"/>
      <c r="E3" s="286"/>
      <c r="F3" s="286"/>
      <c r="G3" s="287"/>
      <c r="H3" s="285" t="s">
        <v>203</v>
      </c>
      <c r="I3" s="286"/>
      <c r="J3" s="286"/>
      <c r="K3" s="286"/>
      <c r="L3" s="286"/>
      <c r="M3" s="287"/>
      <c r="N3" s="285" t="s">
        <v>202</v>
      </c>
      <c r="O3" s="286"/>
      <c r="P3" s="286"/>
      <c r="Q3" s="286"/>
      <c r="R3" s="286"/>
      <c r="S3" s="287"/>
      <c r="T3" s="189"/>
      <c r="U3" s="111"/>
      <c r="V3" s="306" t="s">
        <v>197</v>
      </c>
      <c r="W3" s="307"/>
      <c r="X3" s="307"/>
      <c r="Y3" s="308"/>
      <c r="Z3" s="306" t="s">
        <v>15</v>
      </c>
      <c r="AA3" s="307"/>
      <c r="AB3" s="307"/>
      <c r="AC3" s="308"/>
      <c r="AD3" s="306" t="s">
        <v>14</v>
      </c>
      <c r="AE3" s="307"/>
      <c r="AF3" s="307"/>
      <c r="AG3" s="308"/>
    </row>
    <row r="4" spans="1:34" ht="30.6" customHeight="1" x14ac:dyDescent="0.45">
      <c r="A4" s="91"/>
      <c r="B4" s="294" t="s">
        <v>3</v>
      </c>
      <c r="C4" s="295"/>
      <c r="D4" s="296"/>
      <c r="E4" s="297" t="s">
        <v>4</v>
      </c>
      <c r="F4" s="298"/>
      <c r="G4" s="299"/>
      <c r="H4" s="294" t="s">
        <v>3</v>
      </c>
      <c r="I4" s="295"/>
      <c r="J4" s="296"/>
      <c r="K4" s="297" t="s">
        <v>4</v>
      </c>
      <c r="L4" s="298"/>
      <c r="M4" s="299"/>
      <c r="N4" s="294" t="s">
        <v>3</v>
      </c>
      <c r="O4" s="295"/>
      <c r="P4" s="296"/>
      <c r="Q4" s="297" t="s">
        <v>4</v>
      </c>
      <c r="R4" s="298"/>
      <c r="S4" s="299"/>
      <c r="T4" s="189"/>
      <c r="U4" s="207"/>
      <c r="V4" s="300" t="s">
        <v>4</v>
      </c>
      <c r="W4" s="301"/>
      <c r="X4" s="301"/>
      <c r="Y4" s="302"/>
      <c r="Z4" s="300" t="s">
        <v>4</v>
      </c>
      <c r="AA4" s="301"/>
      <c r="AB4" s="301"/>
      <c r="AC4" s="302"/>
      <c r="AD4" s="300" t="s">
        <v>4</v>
      </c>
      <c r="AE4" s="301"/>
      <c r="AF4" s="301"/>
      <c r="AG4" s="302"/>
    </row>
    <row r="5" spans="1:34" ht="30.6" customHeight="1" x14ac:dyDescent="0.45">
      <c r="A5" s="110" t="s">
        <v>16</v>
      </c>
      <c r="B5" s="211" t="s">
        <v>17</v>
      </c>
      <c r="C5" s="212" t="s">
        <v>18</v>
      </c>
      <c r="D5" s="211" t="s">
        <v>19</v>
      </c>
      <c r="E5" s="213" t="s">
        <v>17</v>
      </c>
      <c r="F5" s="214" t="s">
        <v>18</v>
      </c>
      <c r="G5" s="213" t="s">
        <v>19</v>
      </c>
      <c r="H5" s="211" t="s">
        <v>17</v>
      </c>
      <c r="I5" s="212" t="s">
        <v>18</v>
      </c>
      <c r="J5" s="211" t="s">
        <v>19</v>
      </c>
      <c r="K5" s="213" t="s">
        <v>17</v>
      </c>
      <c r="L5" s="214" t="s">
        <v>18</v>
      </c>
      <c r="M5" s="213" t="s">
        <v>19</v>
      </c>
      <c r="N5" s="211" t="s">
        <v>17</v>
      </c>
      <c r="O5" s="212" t="s">
        <v>18</v>
      </c>
      <c r="P5" s="211" t="s">
        <v>19</v>
      </c>
      <c r="Q5" s="213" t="s">
        <v>17</v>
      </c>
      <c r="R5" s="214" t="s">
        <v>18</v>
      </c>
      <c r="S5" s="213" t="s">
        <v>19</v>
      </c>
      <c r="T5" s="190"/>
      <c r="U5" s="110" t="s">
        <v>16</v>
      </c>
      <c r="V5" s="196" t="s">
        <v>153</v>
      </c>
      <c r="W5" s="197" t="s">
        <v>17</v>
      </c>
      <c r="X5" s="198" t="s">
        <v>18</v>
      </c>
      <c r="Y5" s="197" t="s">
        <v>19</v>
      </c>
      <c r="Z5" s="218" t="s">
        <v>153</v>
      </c>
      <c r="AA5" s="219" t="s">
        <v>17</v>
      </c>
      <c r="AB5" s="220" t="s">
        <v>18</v>
      </c>
      <c r="AC5" s="219" t="s">
        <v>19</v>
      </c>
      <c r="AD5" s="229" t="s">
        <v>153</v>
      </c>
      <c r="AE5" s="219" t="s">
        <v>17</v>
      </c>
      <c r="AF5" s="220" t="s">
        <v>18</v>
      </c>
      <c r="AG5" s="219" t="s">
        <v>19</v>
      </c>
    </row>
    <row r="6" spans="1:34" ht="30.6" customHeight="1" thickBot="1" x14ac:dyDescent="0.5">
      <c r="A6" s="94" t="s">
        <v>5</v>
      </c>
      <c r="B6" s="208">
        <v>0.13900000000000001</v>
      </c>
      <c r="C6" s="208">
        <v>0.60799999999999998</v>
      </c>
      <c r="D6" s="208">
        <v>0.185</v>
      </c>
      <c r="E6" s="215">
        <f>W6/V6</f>
        <v>0.13607712272895811</v>
      </c>
      <c r="F6" s="215">
        <f>X6/V6</f>
        <v>0.60993696700037081</v>
      </c>
      <c r="G6" s="215">
        <f>Y6/V6</f>
        <v>0.18316648127549129</v>
      </c>
      <c r="H6" s="208">
        <f>5766/39248</f>
        <v>0.14691194455768447</v>
      </c>
      <c r="I6" s="208">
        <v>0.60599999999999998</v>
      </c>
      <c r="J6" s="208">
        <v>0.187</v>
      </c>
      <c r="K6" s="215">
        <f>AA6/Z6</f>
        <v>0.14868701206529453</v>
      </c>
      <c r="L6" s="215">
        <f>AB6/Z6</f>
        <v>0.61603974449964516</v>
      </c>
      <c r="M6" s="215">
        <f>AC6/Z6</f>
        <v>0.16855926188786374</v>
      </c>
      <c r="N6" s="208">
        <v>0.157</v>
      </c>
      <c r="O6" s="208">
        <v>0.60899999999999999</v>
      </c>
      <c r="P6" s="208">
        <v>0.17799999999999999</v>
      </c>
      <c r="Q6" s="215">
        <f>AE6/AD6</f>
        <v>0.16501766784452296</v>
      </c>
      <c r="R6" s="215">
        <f>AF6/AD6</f>
        <v>0.58939929328621909</v>
      </c>
      <c r="S6" s="215">
        <f>AG6/AD6</f>
        <v>0.16113074204946998</v>
      </c>
      <c r="T6" s="191"/>
      <c r="U6" s="94" t="s">
        <v>5</v>
      </c>
      <c r="V6" s="199">
        <v>2697</v>
      </c>
      <c r="W6" s="200">
        <v>367</v>
      </c>
      <c r="X6" s="200">
        <v>1645</v>
      </c>
      <c r="Y6" s="200">
        <v>494</v>
      </c>
      <c r="Z6" s="221">
        <v>2818</v>
      </c>
      <c r="AA6" s="222">
        <v>419</v>
      </c>
      <c r="AB6" s="222">
        <v>1736</v>
      </c>
      <c r="AC6" s="222">
        <v>475</v>
      </c>
      <c r="AD6" s="230">
        <v>2830</v>
      </c>
      <c r="AE6" s="222">
        <v>467</v>
      </c>
      <c r="AF6" s="222">
        <v>1668</v>
      </c>
      <c r="AG6" s="222">
        <v>456</v>
      </c>
      <c r="AH6" s="194"/>
    </row>
    <row r="7" spans="1:34" ht="30.6" customHeight="1" thickTop="1" x14ac:dyDescent="0.45">
      <c r="A7" s="98" t="s">
        <v>6</v>
      </c>
      <c r="B7" s="209">
        <v>0.20799999999999999</v>
      </c>
      <c r="C7" s="209">
        <v>0.39200000000000002</v>
      </c>
      <c r="D7" s="209">
        <v>0.31900000000000001</v>
      </c>
      <c r="E7" s="216">
        <f>W7/V7</f>
        <v>0.24</v>
      </c>
      <c r="F7" s="216">
        <f t="shared" ref="F7:F13" si="0">X7/V7</f>
        <v>0.3</v>
      </c>
      <c r="G7" s="216">
        <f t="shared" ref="G7:G12" si="1">Y7/V7</f>
        <v>0.34</v>
      </c>
      <c r="H7" s="209">
        <f>199/890</f>
        <v>0.22359550561797753</v>
      </c>
      <c r="I7" s="209">
        <f>333/890</f>
        <v>0.37415730337078651</v>
      </c>
      <c r="J7" s="209">
        <f>309/890</f>
        <v>0.34719101123595508</v>
      </c>
      <c r="K7" s="216">
        <f t="shared" ref="K7:K13" si="2">AA7/Z7</f>
        <v>9.8360655737704916E-2</v>
      </c>
      <c r="L7" s="216">
        <f t="shared" ref="L7:L13" si="3">AB7/Z7</f>
        <v>0.49180327868852458</v>
      </c>
      <c r="M7" s="216">
        <f t="shared" ref="M7:M13" si="4">AC7/Z7</f>
        <v>0.36065573770491804</v>
      </c>
      <c r="N7" s="209">
        <v>0.22600000000000001</v>
      </c>
      <c r="O7" s="209">
        <v>0.375</v>
      </c>
      <c r="P7" s="209">
        <v>0.34200000000000003</v>
      </c>
      <c r="Q7" s="216">
        <f t="shared" ref="Q7:Q13" si="5">AE7/AD7</f>
        <v>0.27419354838709675</v>
      </c>
      <c r="R7" s="216">
        <f t="shared" ref="R7:R13" si="6">AF7/AD7</f>
        <v>0.30645161290322581</v>
      </c>
      <c r="S7" s="216">
        <f t="shared" ref="S7:S13" si="7">AG7/AD7</f>
        <v>0.30645161290322581</v>
      </c>
      <c r="T7" s="191"/>
      <c r="U7" s="98" t="s">
        <v>6</v>
      </c>
      <c r="V7" s="201">
        <v>50</v>
      </c>
      <c r="W7" s="202">
        <v>12</v>
      </c>
      <c r="X7" s="202">
        <v>15</v>
      </c>
      <c r="Y7" s="202">
        <v>17</v>
      </c>
      <c r="Z7" s="223">
        <v>61</v>
      </c>
      <c r="AA7" s="224">
        <v>6</v>
      </c>
      <c r="AB7" s="224">
        <v>30</v>
      </c>
      <c r="AC7" s="224">
        <v>22</v>
      </c>
      <c r="AD7" s="231">
        <v>62</v>
      </c>
      <c r="AE7" s="224">
        <v>17</v>
      </c>
      <c r="AF7" s="224">
        <v>19</v>
      </c>
      <c r="AG7" s="224">
        <v>19</v>
      </c>
      <c r="AH7" s="194"/>
    </row>
    <row r="8" spans="1:34" ht="30.6" customHeight="1" x14ac:dyDescent="0.45">
      <c r="A8" s="91" t="s">
        <v>7</v>
      </c>
      <c r="B8" s="209">
        <v>0.20799999999999999</v>
      </c>
      <c r="C8" s="209">
        <v>0.51100000000000001</v>
      </c>
      <c r="D8" s="209">
        <v>0.192</v>
      </c>
      <c r="E8" s="217">
        <f t="shared" ref="E8:E13" si="8">W8/V8</f>
        <v>0.19832402234636873</v>
      </c>
      <c r="F8" s="217">
        <f t="shared" si="0"/>
        <v>0.54189944134078216</v>
      </c>
      <c r="G8" s="217">
        <f t="shared" si="1"/>
        <v>0.1787709497206704</v>
      </c>
      <c r="H8" s="209">
        <f>995/4958</f>
        <v>0.20068576038725291</v>
      </c>
      <c r="I8" s="209">
        <f>2567/4958</f>
        <v>0.51774909237595801</v>
      </c>
      <c r="J8" s="209">
        <f>1030/4958</f>
        <v>0.20774505849132716</v>
      </c>
      <c r="K8" s="217">
        <f t="shared" si="2"/>
        <v>0.19847328244274809</v>
      </c>
      <c r="L8" s="217">
        <f t="shared" si="3"/>
        <v>0.5241730279898219</v>
      </c>
      <c r="M8" s="217">
        <f t="shared" si="4"/>
        <v>0.19847328244274809</v>
      </c>
      <c r="N8" s="210">
        <v>0.221</v>
      </c>
      <c r="O8" s="210">
        <v>0.52600000000000002</v>
      </c>
      <c r="P8" s="210">
        <v>0.183</v>
      </c>
      <c r="Q8" s="217">
        <f t="shared" si="5"/>
        <v>0.23733333333333334</v>
      </c>
      <c r="R8" s="217">
        <f t="shared" si="6"/>
        <v>0.45600000000000002</v>
      </c>
      <c r="S8" s="217">
        <f t="shared" si="7"/>
        <v>0.17066666666666666</v>
      </c>
      <c r="T8" s="191"/>
      <c r="U8" s="91" t="s">
        <v>7</v>
      </c>
      <c r="V8" s="203">
        <v>358</v>
      </c>
      <c r="W8" s="204">
        <v>71</v>
      </c>
      <c r="X8" s="204">
        <v>194</v>
      </c>
      <c r="Y8" s="204">
        <v>64</v>
      </c>
      <c r="Z8" s="184">
        <v>393</v>
      </c>
      <c r="AA8" s="225">
        <v>78</v>
      </c>
      <c r="AB8" s="225">
        <v>206</v>
      </c>
      <c r="AC8" s="225">
        <v>78</v>
      </c>
      <c r="AD8" s="232">
        <v>375</v>
      </c>
      <c r="AE8" s="225">
        <v>89</v>
      </c>
      <c r="AF8" s="225">
        <v>171</v>
      </c>
      <c r="AG8" s="225">
        <v>64</v>
      </c>
      <c r="AH8" s="194"/>
    </row>
    <row r="9" spans="1:34" ht="30.6" customHeight="1" x14ac:dyDescent="0.45">
      <c r="A9" s="91" t="s">
        <v>8</v>
      </c>
      <c r="B9" s="209">
        <v>0.17</v>
      </c>
      <c r="C9" s="209">
        <v>0.54500000000000004</v>
      </c>
      <c r="D9" s="209">
        <v>0.19600000000000001</v>
      </c>
      <c r="E9" s="217">
        <f t="shared" si="8"/>
        <v>0.16455696202531644</v>
      </c>
      <c r="F9" s="217">
        <f t="shared" si="0"/>
        <v>0.5544303797468354</v>
      </c>
      <c r="G9" s="217">
        <f t="shared" si="1"/>
        <v>0.19240506329113924</v>
      </c>
      <c r="H9" s="209">
        <f>975/5526</f>
        <v>0.1764386536373507</v>
      </c>
      <c r="I9" s="209">
        <f>3095/5526</f>
        <v>0.56007962359753893</v>
      </c>
      <c r="J9" s="209">
        <f>1077/5526</f>
        <v>0.19489685124864278</v>
      </c>
      <c r="K9" s="217">
        <f t="shared" si="2"/>
        <v>0.17771883289124668</v>
      </c>
      <c r="L9" s="217">
        <f t="shared" si="3"/>
        <v>0.60212201591511938</v>
      </c>
      <c r="M9" s="217">
        <f t="shared" si="4"/>
        <v>0.15915119363395225</v>
      </c>
      <c r="N9" s="210">
        <v>0.17699999999999999</v>
      </c>
      <c r="O9" s="210">
        <v>0.56100000000000005</v>
      </c>
      <c r="P9" s="210">
        <v>0.19</v>
      </c>
      <c r="Q9" s="217">
        <f t="shared" si="5"/>
        <v>0.16783216783216784</v>
      </c>
      <c r="R9" s="217">
        <f t="shared" si="6"/>
        <v>0.56177156177156173</v>
      </c>
      <c r="S9" s="217">
        <f t="shared" si="7"/>
        <v>0.15617715617715619</v>
      </c>
      <c r="T9" s="191"/>
      <c r="U9" s="91" t="s">
        <v>8</v>
      </c>
      <c r="V9" s="203">
        <v>395</v>
      </c>
      <c r="W9" s="204">
        <v>65</v>
      </c>
      <c r="X9" s="204">
        <v>219</v>
      </c>
      <c r="Y9" s="204">
        <v>76</v>
      </c>
      <c r="Z9" s="184">
        <v>377</v>
      </c>
      <c r="AA9" s="225">
        <v>67</v>
      </c>
      <c r="AB9" s="225">
        <v>227</v>
      </c>
      <c r="AC9" s="225">
        <v>60</v>
      </c>
      <c r="AD9" s="232">
        <v>429</v>
      </c>
      <c r="AE9" s="225">
        <v>72</v>
      </c>
      <c r="AF9" s="225">
        <v>241</v>
      </c>
      <c r="AG9" s="225">
        <v>67</v>
      </c>
      <c r="AH9" s="194"/>
    </row>
    <row r="10" spans="1:34" ht="30.6" customHeight="1" x14ac:dyDescent="0.45">
      <c r="A10" s="91" t="s">
        <v>9</v>
      </c>
      <c r="B10" s="209">
        <v>0.14000000000000001</v>
      </c>
      <c r="C10" s="209">
        <v>0.59899999999999998</v>
      </c>
      <c r="D10" s="209">
        <v>0.185</v>
      </c>
      <c r="E10" s="217">
        <f>W10/V10</f>
        <v>0.12663755458515283</v>
      </c>
      <c r="F10" s="217">
        <f t="shared" si="0"/>
        <v>0.59170305676855894</v>
      </c>
      <c r="G10" s="217">
        <f t="shared" si="1"/>
        <v>0.19213973799126638</v>
      </c>
      <c r="H10" s="209">
        <v>0.156</v>
      </c>
      <c r="I10" s="209">
        <v>0.59499999999999997</v>
      </c>
      <c r="J10" s="209">
        <v>0.182</v>
      </c>
      <c r="K10" s="217">
        <f t="shared" si="2"/>
        <v>0.14619883040935672</v>
      </c>
      <c r="L10" s="217">
        <f t="shared" si="3"/>
        <v>0.61598440545808963</v>
      </c>
      <c r="M10" s="217">
        <f t="shared" si="4"/>
        <v>0.16569200779727095</v>
      </c>
      <c r="N10" s="210">
        <v>0.16700000000000001</v>
      </c>
      <c r="O10" s="210">
        <v>0.60499999999999998</v>
      </c>
      <c r="P10" s="210">
        <v>0.16800000000000001</v>
      </c>
      <c r="Q10" s="217">
        <f t="shared" si="5"/>
        <v>0.17702448210922786</v>
      </c>
      <c r="R10" s="217">
        <f t="shared" si="6"/>
        <v>0.60263653483992463</v>
      </c>
      <c r="S10" s="217">
        <f t="shared" si="7"/>
        <v>0.1487758945386064</v>
      </c>
      <c r="T10" s="191"/>
      <c r="U10" s="91" t="s">
        <v>9</v>
      </c>
      <c r="V10" s="203">
        <v>458</v>
      </c>
      <c r="W10" s="204">
        <v>58</v>
      </c>
      <c r="X10" s="204">
        <v>271</v>
      </c>
      <c r="Y10" s="204">
        <v>88</v>
      </c>
      <c r="Z10" s="184">
        <v>513</v>
      </c>
      <c r="AA10" s="225">
        <v>75</v>
      </c>
      <c r="AB10" s="225">
        <v>316</v>
      </c>
      <c r="AC10" s="225">
        <v>85</v>
      </c>
      <c r="AD10" s="232">
        <v>531</v>
      </c>
      <c r="AE10" s="225">
        <v>94</v>
      </c>
      <c r="AF10" s="225">
        <v>320</v>
      </c>
      <c r="AG10" s="225">
        <v>79</v>
      </c>
      <c r="AH10" s="194"/>
    </row>
    <row r="11" spans="1:34" ht="30.6" customHeight="1" x14ac:dyDescent="0.45">
      <c r="A11" s="91" t="s">
        <v>10</v>
      </c>
      <c r="B11" s="209">
        <v>0.123</v>
      </c>
      <c r="C11" s="209">
        <v>0.63800000000000001</v>
      </c>
      <c r="D11" s="209">
        <v>0.16200000000000001</v>
      </c>
      <c r="E11" s="217">
        <f>W11/V11</f>
        <v>0.12259194395796848</v>
      </c>
      <c r="F11" s="217">
        <f t="shared" si="0"/>
        <v>0.63572679509632224</v>
      </c>
      <c r="G11" s="217">
        <f t="shared" si="1"/>
        <v>0.17688266199649738</v>
      </c>
      <c r="H11" s="209">
        <f>937/7383</f>
        <v>0.12691317892455642</v>
      </c>
      <c r="I11" s="209">
        <f>4686/7383</f>
        <v>0.63470134091832586</v>
      </c>
      <c r="J11" s="209">
        <f>1229/7383</f>
        <v>0.16646349722335094</v>
      </c>
      <c r="K11" s="217">
        <f t="shared" si="2"/>
        <v>0.13438045375218149</v>
      </c>
      <c r="L11" s="217">
        <f t="shared" si="3"/>
        <v>0.63874345549738221</v>
      </c>
      <c r="M11" s="217">
        <f t="shared" si="4"/>
        <v>0.13961605584642234</v>
      </c>
      <c r="N11" s="210">
        <v>0.13200000000000001</v>
      </c>
      <c r="O11" s="210">
        <v>0.63700000000000001</v>
      </c>
      <c r="P11" s="210">
        <v>0.16800000000000001</v>
      </c>
      <c r="Q11" s="217">
        <f t="shared" si="5"/>
        <v>0.14545454545454545</v>
      </c>
      <c r="R11" s="217">
        <f t="shared" si="6"/>
        <v>0.64727272727272722</v>
      </c>
      <c r="S11" s="217">
        <f t="shared" si="7"/>
        <v>0.11818181818181818</v>
      </c>
      <c r="T11" s="191"/>
      <c r="U11" s="91" t="s">
        <v>10</v>
      </c>
      <c r="V11" s="203">
        <v>571</v>
      </c>
      <c r="W11" s="204">
        <v>70</v>
      </c>
      <c r="X11" s="204">
        <v>363</v>
      </c>
      <c r="Y11" s="204">
        <v>101</v>
      </c>
      <c r="Z11" s="184">
        <v>573</v>
      </c>
      <c r="AA11" s="225">
        <v>77</v>
      </c>
      <c r="AB11" s="225">
        <v>366</v>
      </c>
      <c r="AC11" s="225">
        <v>80</v>
      </c>
      <c r="AD11" s="232">
        <v>550</v>
      </c>
      <c r="AE11" s="225">
        <v>80</v>
      </c>
      <c r="AF11" s="225">
        <v>356</v>
      </c>
      <c r="AG11" s="225">
        <v>65</v>
      </c>
      <c r="AH11" s="194"/>
    </row>
    <row r="12" spans="1:34" ht="30.6" customHeight="1" x14ac:dyDescent="0.45">
      <c r="A12" s="91" t="s">
        <v>11</v>
      </c>
      <c r="B12" s="209">
        <v>0.121</v>
      </c>
      <c r="C12" s="209">
        <v>0.65500000000000003</v>
      </c>
      <c r="D12" s="209">
        <v>0.17</v>
      </c>
      <c r="E12" s="217">
        <f t="shared" si="8"/>
        <v>0.10301507537688442</v>
      </c>
      <c r="F12" s="217">
        <f t="shared" si="0"/>
        <v>0.70854271356783916</v>
      </c>
      <c r="G12" s="217">
        <f t="shared" si="1"/>
        <v>0.1407035175879397</v>
      </c>
      <c r="H12" s="209">
        <f>811/6318</f>
        <v>0.12836340614118391</v>
      </c>
      <c r="I12" s="209">
        <f>4100/6318</f>
        <v>0.64893953782842673</v>
      </c>
      <c r="J12" s="209">
        <f>1078/6318</f>
        <v>0.17062361506805951</v>
      </c>
      <c r="K12" s="217">
        <f t="shared" si="2"/>
        <v>0.15158924205378974</v>
      </c>
      <c r="L12" s="217">
        <f t="shared" si="3"/>
        <v>0.62347188264058684</v>
      </c>
      <c r="M12" s="217">
        <f t="shared" si="4"/>
        <v>0.1491442542787286</v>
      </c>
      <c r="N12" s="210">
        <v>0.14299999999999999</v>
      </c>
      <c r="O12" s="210">
        <v>0.64800000000000002</v>
      </c>
      <c r="P12" s="210">
        <v>0.16500000000000001</v>
      </c>
      <c r="Q12" s="217">
        <f t="shared" si="5"/>
        <v>0.12437810945273632</v>
      </c>
      <c r="R12" s="217">
        <f t="shared" si="6"/>
        <v>0.62189054726368154</v>
      </c>
      <c r="S12" s="217">
        <f t="shared" si="7"/>
        <v>0.19154228855721392</v>
      </c>
      <c r="T12" s="191"/>
      <c r="U12" s="91" t="s">
        <v>11</v>
      </c>
      <c r="V12" s="203">
        <v>398</v>
      </c>
      <c r="W12" s="204">
        <v>41</v>
      </c>
      <c r="X12" s="204">
        <v>282</v>
      </c>
      <c r="Y12" s="204">
        <v>56</v>
      </c>
      <c r="Z12" s="184">
        <v>409</v>
      </c>
      <c r="AA12" s="225">
        <v>62</v>
      </c>
      <c r="AB12" s="225">
        <v>255</v>
      </c>
      <c r="AC12" s="225">
        <v>61</v>
      </c>
      <c r="AD12" s="232">
        <v>402</v>
      </c>
      <c r="AE12" s="225">
        <v>50</v>
      </c>
      <c r="AF12" s="225">
        <v>250</v>
      </c>
      <c r="AG12" s="225">
        <v>77</v>
      </c>
      <c r="AH12" s="194"/>
    </row>
    <row r="13" spans="1:34" ht="30.6" customHeight="1" x14ac:dyDescent="0.45">
      <c r="A13" s="91" t="s">
        <v>12</v>
      </c>
      <c r="B13" s="209">
        <v>9.1999999999999998E-2</v>
      </c>
      <c r="C13" s="209">
        <v>0.68300000000000005</v>
      </c>
      <c r="D13" s="209">
        <v>0.192</v>
      </c>
      <c r="E13" s="217">
        <f t="shared" si="8"/>
        <v>0.10706638115631692</v>
      </c>
      <c r="F13" s="217">
        <f t="shared" si="0"/>
        <v>0.64453961456102782</v>
      </c>
      <c r="G13" s="217">
        <f>Y13/V13</f>
        <v>0.19700214132762311</v>
      </c>
      <c r="H13" s="209">
        <f>725/6959</f>
        <v>0.10418163529242708</v>
      </c>
      <c r="I13" s="209">
        <f>4723/6959</f>
        <v>0.67868946687742493</v>
      </c>
      <c r="J13" s="209">
        <f>1302/6959</f>
        <v>0.18709584710446903</v>
      </c>
      <c r="K13" s="217">
        <f t="shared" si="2"/>
        <v>0.10975609756097561</v>
      </c>
      <c r="L13" s="217">
        <f t="shared" si="3"/>
        <v>0.68292682926829273</v>
      </c>
      <c r="M13" s="217">
        <f t="shared" si="4"/>
        <v>0.18089430894308944</v>
      </c>
      <c r="N13" s="210">
        <v>0.115</v>
      </c>
      <c r="O13" s="210">
        <v>0.67700000000000005</v>
      </c>
      <c r="P13" s="210">
        <v>0.17899999999999999</v>
      </c>
      <c r="Q13" s="217">
        <f t="shared" si="5"/>
        <v>0.13513513513513514</v>
      </c>
      <c r="R13" s="217">
        <f t="shared" si="6"/>
        <v>0.64656964656964655</v>
      </c>
      <c r="S13" s="217">
        <f t="shared" si="7"/>
        <v>0.17671517671517672</v>
      </c>
      <c r="T13" s="191"/>
      <c r="U13" s="91" t="s">
        <v>12</v>
      </c>
      <c r="V13" s="203">
        <v>467</v>
      </c>
      <c r="W13" s="204">
        <v>50</v>
      </c>
      <c r="X13" s="204">
        <v>301</v>
      </c>
      <c r="Y13" s="204">
        <v>92</v>
      </c>
      <c r="Z13" s="184">
        <v>492</v>
      </c>
      <c r="AA13" s="225">
        <v>54</v>
      </c>
      <c r="AB13" s="225">
        <v>336</v>
      </c>
      <c r="AC13" s="225">
        <v>89</v>
      </c>
      <c r="AD13" s="232">
        <v>481</v>
      </c>
      <c r="AE13" s="225">
        <v>65</v>
      </c>
      <c r="AF13" s="225">
        <v>311</v>
      </c>
      <c r="AG13" s="225">
        <v>85</v>
      </c>
      <c r="AH13" s="194"/>
    </row>
    <row r="14" spans="1:34" ht="30.6" customHeight="1" x14ac:dyDescent="0.45"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V14" s="205"/>
      <c r="W14" s="205"/>
      <c r="X14" s="205"/>
      <c r="Y14" s="205"/>
      <c r="Z14" s="226"/>
      <c r="AA14" s="226"/>
      <c r="AB14" s="226"/>
      <c r="AC14" s="226"/>
      <c r="AD14" s="226"/>
      <c r="AE14" s="226"/>
      <c r="AF14" s="226"/>
      <c r="AG14" s="226"/>
      <c r="AH14" s="194"/>
    </row>
    <row r="15" spans="1:34" ht="30.6" customHeight="1" x14ac:dyDescent="0.45">
      <c r="A15" s="90"/>
      <c r="B15" s="288" t="s">
        <v>1</v>
      </c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90"/>
      <c r="T15" s="193"/>
      <c r="U15" s="111"/>
      <c r="V15" s="206"/>
      <c r="W15" s="206"/>
      <c r="X15" s="206"/>
      <c r="Y15" s="206"/>
      <c r="Z15" s="227"/>
      <c r="AA15" s="227"/>
      <c r="AB15" s="227"/>
      <c r="AC15" s="227"/>
      <c r="AD15" s="227"/>
      <c r="AE15" s="227"/>
      <c r="AF15" s="227"/>
      <c r="AG15" s="227"/>
      <c r="AH15" s="194"/>
    </row>
    <row r="16" spans="1:34" ht="30.6" customHeight="1" x14ac:dyDescent="0.45">
      <c r="A16" s="90"/>
      <c r="B16" s="291" t="s">
        <v>204</v>
      </c>
      <c r="C16" s="292"/>
      <c r="D16" s="292"/>
      <c r="E16" s="292"/>
      <c r="F16" s="292"/>
      <c r="G16" s="293"/>
      <c r="H16" s="291" t="s">
        <v>203</v>
      </c>
      <c r="I16" s="292"/>
      <c r="J16" s="292"/>
      <c r="K16" s="292"/>
      <c r="L16" s="292"/>
      <c r="M16" s="293"/>
      <c r="N16" s="291" t="s">
        <v>202</v>
      </c>
      <c r="O16" s="292"/>
      <c r="P16" s="292"/>
      <c r="Q16" s="292"/>
      <c r="R16" s="292"/>
      <c r="S16" s="293"/>
      <c r="T16" s="189"/>
      <c r="U16" s="111"/>
      <c r="V16" s="306" t="s">
        <v>197</v>
      </c>
      <c r="W16" s="307"/>
      <c r="X16" s="307"/>
      <c r="Y16" s="308"/>
      <c r="Z16" s="309" t="s">
        <v>15</v>
      </c>
      <c r="AA16" s="310"/>
      <c r="AB16" s="310"/>
      <c r="AC16" s="311"/>
      <c r="AD16" s="309" t="s">
        <v>14</v>
      </c>
      <c r="AE16" s="310"/>
      <c r="AF16" s="310"/>
      <c r="AG16" s="311"/>
      <c r="AH16" s="194"/>
    </row>
    <row r="17" spans="1:34" ht="30.6" customHeight="1" x14ac:dyDescent="0.45">
      <c r="A17" s="91"/>
      <c r="B17" s="294" t="s">
        <v>3</v>
      </c>
      <c r="C17" s="295"/>
      <c r="D17" s="296"/>
      <c r="E17" s="297" t="s">
        <v>4</v>
      </c>
      <c r="F17" s="298"/>
      <c r="G17" s="299"/>
      <c r="H17" s="294" t="s">
        <v>3</v>
      </c>
      <c r="I17" s="295"/>
      <c r="J17" s="296"/>
      <c r="K17" s="297" t="s">
        <v>4</v>
      </c>
      <c r="L17" s="298"/>
      <c r="M17" s="299"/>
      <c r="N17" s="294" t="s">
        <v>3</v>
      </c>
      <c r="O17" s="295"/>
      <c r="P17" s="296"/>
      <c r="Q17" s="297" t="s">
        <v>4</v>
      </c>
      <c r="R17" s="298"/>
      <c r="S17" s="299"/>
      <c r="T17" s="189"/>
      <c r="U17" s="207"/>
      <c r="V17" s="300" t="s">
        <v>4</v>
      </c>
      <c r="W17" s="301"/>
      <c r="X17" s="301"/>
      <c r="Y17" s="302"/>
      <c r="Z17" s="303" t="s">
        <v>4</v>
      </c>
      <c r="AA17" s="304"/>
      <c r="AB17" s="304"/>
      <c r="AC17" s="305"/>
      <c r="AD17" s="303" t="s">
        <v>4</v>
      </c>
      <c r="AE17" s="304"/>
      <c r="AF17" s="304"/>
      <c r="AG17" s="305"/>
      <c r="AH17" s="194"/>
    </row>
    <row r="18" spans="1:34" ht="30.6" customHeight="1" x14ac:dyDescent="0.45">
      <c r="A18" s="110" t="s">
        <v>16</v>
      </c>
      <c r="B18" s="211" t="s">
        <v>17</v>
      </c>
      <c r="C18" s="212" t="s">
        <v>18</v>
      </c>
      <c r="D18" s="211" t="s">
        <v>19</v>
      </c>
      <c r="E18" s="213" t="s">
        <v>17</v>
      </c>
      <c r="F18" s="214" t="s">
        <v>18</v>
      </c>
      <c r="G18" s="213" t="s">
        <v>19</v>
      </c>
      <c r="H18" s="211" t="s">
        <v>17</v>
      </c>
      <c r="I18" s="212" t="s">
        <v>18</v>
      </c>
      <c r="J18" s="211" t="s">
        <v>19</v>
      </c>
      <c r="K18" s="213" t="s">
        <v>17</v>
      </c>
      <c r="L18" s="214" t="s">
        <v>18</v>
      </c>
      <c r="M18" s="213" t="s">
        <v>19</v>
      </c>
      <c r="N18" s="211" t="s">
        <v>17</v>
      </c>
      <c r="O18" s="212" t="s">
        <v>18</v>
      </c>
      <c r="P18" s="211" t="s">
        <v>19</v>
      </c>
      <c r="Q18" s="213" t="s">
        <v>17</v>
      </c>
      <c r="R18" s="214" t="s">
        <v>18</v>
      </c>
      <c r="S18" s="213" t="s">
        <v>19</v>
      </c>
      <c r="T18" s="190"/>
      <c r="U18" s="110" t="s">
        <v>16</v>
      </c>
      <c r="V18" s="196" t="s">
        <v>153</v>
      </c>
      <c r="W18" s="197" t="s">
        <v>17</v>
      </c>
      <c r="X18" s="198" t="s">
        <v>18</v>
      </c>
      <c r="Y18" s="197" t="s">
        <v>19</v>
      </c>
      <c r="Z18" s="218" t="s">
        <v>153</v>
      </c>
      <c r="AA18" s="219" t="s">
        <v>17</v>
      </c>
      <c r="AB18" s="220" t="s">
        <v>18</v>
      </c>
      <c r="AC18" s="219" t="s">
        <v>19</v>
      </c>
      <c r="AD18" s="229" t="s">
        <v>153</v>
      </c>
      <c r="AE18" s="219" t="s">
        <v>17</v>
      </c>
      <c r="AF18" s="220" t="s">
        <v>18</v>
      </c>
      <c r="AG18" s="219" t="s">
        <v>19</v>
      </c>
      <c r="AH18" s="194"/>
    </row>
    <row r="19" spans="1:34" ht="30.6" customHeight="1" thickBot="1" x14ac:dyDescent="0.5">
      <c r="A19" s="94" t="s">
        <v>5</v>
      </c>
      <c r="B19" s="208">
        <v>0.13800000000000001</v>
      </c>
      <c r="C19" s="208">
        <v>0.623</v>
      </c>
      <c r="D19" s="208">
        <v>0.17699999999999999</v>
      </c>
      <c r="E19" s="215">
        <f>W19/V19</f>
        <v>0.13440860215053763</v>
      </c>
      <c r="F19" s="215">
        <f>X19/V19</f>
        <v>0.61827956989247312</v>
      </c>
      <c r="G19" s="215">
        <f>Y19/V19</f>
        <v>0.18279569892473119</v>
      </c>
      <c r="H19" s="208">
        <v>0.14299999999999999</v>
      </c>
      <c r="I19" s="208">
        <v>0.624</v>
      </c>
      <c r="J19" s="208">
        <v>0.17799999999999999</v>
      </c>
      <c r="K19" s="215">
        <f>AA19/Z19</f>
        <v>0.1463963963963964</v>
      </c>
      <c r="L19" s="215">
        <f>AB19/Z19</f>
        <v>0.63963963963963966</v>
      </c>
      <c r="M19" s="215">
        <f>AC19/Z19</f>
        <v>0.1463963963963964</v>
      </c>
      <c r="N19" s="208">
        <v>0.156</v>
      </c>
      <c r="O19" s="208">
        <v>0.624</v>
      </c>
      <c r="P19" s="208">
        <v>0.17199999999999999</v>
      </c>
      <c r="Q19" s="215">
        <f>AE19/AD19</f>
        <v>0.15897435897435896</v>
      </c>
      <c r="R19" s="215">
        <f>AF19/AD19</f>
        <v>0.60219780219780217</v>
      </c>
      <c r="S19" s="215">
        <f>AG19/AD19</f>
        <v>0.15164835164835164</v>
      </c>
      <c r="T19" s="191"/>
      <c r="U19" s="94" t="s">
        <v>5</v>
      </c>
      <c r="V19" s="199">
        <v>1302</v>
      </c>
      <c r="W19" s="200">
        <v>175</v>
      </c>
      <c r="X19" s="200">
        <v>805</v>
      </c>
      <c r="Y19" s="200">
        <v>238</v>
      </c>
      <c r="Z19" s="221">
        <v>1332</v>
      </c>
      <c r="AA19" s="222">
        <v>195</v>
      </c>
      <c r="AB19" s="222">
        <v>852</v>
      </c>
      <c r="AC19" s="222">
        <v>195</v>
      </c>
      <c r="AD19" s="230">
        <v>1365</v>
      </c>
      <c r="AE19" s="222">
        <v>217</v>
      </c>
      <c r="AF19" s="222">
        <v>822</v>
      </c>
      <c r="AG19" s="222">
        <v>207</v>
      </c>
      <c r="AH19" s="194"/>
    </row>
    <row r="20" spans="1:34" ht="30.6" customHeight="1" thickTop="1" x14ac:dyDescent="0.45">
      <c r="A20" s="98" t="s">
        <v>6</v>
      </c>
      <c r="B20" s="209">
        <v>0.25900000000000001</v>
      </c>
      <c r="C20" s="209">
        <v>0.38600000000000001</v>
      </c>
      <c r="D20" s="209">
        <v>0.27900000000000003</v>
      </c>
      <c r="E20" s="216">
        <f t="shared" ref="E20:E26" si="9">W20/V20</f>
        <v>0.2857142857142857</v>
      </c>
      <c r="F20" s="216">
        <f t="shared" ref="F20:F26" si="10">X20/V20</f>
        <v>0.42857142857142855</v>
      </c>
      <c r="G20" s="216">
        <f t="shared" ref="G20:G26" si="11">Y20/V20</f>
        <v>0.2857142857142857</v>
      </c>
      <c r="H20" s="209">
        <v>0.27300000000000002</v>
      </c>
      <c r="I20" s="209">
        <v>0.38500000000000001</v>
      </c>
      <c r="J20" s="209">
        <v>0.26900000000000002</v>
      </c>
      <c r="K20" s="216">
        <f t="shared" ref="K20:K26" si="12">AA20/Z20</f>
        <v>0.16666666666666666</v>
      </c>
      <c r="L20" s="216">
        <f t="shared" ref="L20:L26" si="13">AB20/Z20</f>
        <v>0.5</v>
      </c>
      <c r="M20" s="216">
        <f t="shared" ref="M20:M26" si="14">AC20/Z20</f>
        <v>0.26666666666666666</v>
      </c>
      <c r="N20" s="209">
        <v>0.251</v>
      </c>
      <c r="O20" s="209">
        <v>0.377</v>
      </c>
      <c r="P20" s="209">
        <v>0.33900000000000002</v>
      </c>
      <c r="Q20" s="216">
        <f t="shared" ref="Q20:Q26" si="15">AE20/AD20</f>
        <v>0.27586206896551724</v>
      </c>
      <c r="R20" s="216">
        <f t="shared" ref="R20:R26" si="16">AF20/AD20</f>
        <v>0.27586206896551724</v>
      </c>
      <c r="S20" s="216">
        <f t="shared" ref="S20:S26" si="17">AG20/AD20</f>
        <v>0.34482758620689657</v>
      </c>
      <c r="T20" s="191"/>
      <c r="U20" s="98" t="s">
        <v>6</v>
      </c>
      <c r="V20" s="201">
        <v>21</v>
      </c>
      <c r="W20" s="202">
        <v>6</v>
      </c>
      <c r="X20" s="202">
        <v>9</v>
      </c>
      <c r="Y20" s="202">
        <v>6</v>
      </c>
      <c r="Z20" s="223">
        <v>30</v>
      </c>
      <c r="AA20" s="224">
        <v>5</v>
      </c>
      <c r="AB20" s="224">
        <v>15</v>
      </c>
      <c r="AC20" s="224">
        <v>8</v>
      </c>
      <c r="AD20" s="231">
        <v>29</v>
      </c>
      <c r="AE20" s="224">
        <v>8</v>
      </c>
      <c r="AF20" s="224">
        <v>8</v>
      </c>
      <c r="AG20" s="224">
        <v>10</v>
      </c>
      <c r="AH20" s="194"/>
    </row>
    <row r="21" spans="1:34" ht="30.6" customHeight="1" x14ac:dyDescent="0.45">
      <c r="A21" s="91" t="s">
        <v>7</v>
      </c>
      <c r="B21" s="209">
        <v>0.22800000000000001</v>
      </c>
      <c r="C21" s="209">
        <v>0.53700000000000003</v>
      </c>
      <c r="D21" s="209">
        <v>0.157</v>
      </c>
      <c r="E21" s="217">
        <f t="shared" si="9"/>
        <v>0.24293785310734464</v>
      </c>
      <c r="F21" s="217">
        <f t="shared" si="10"/>
        <v>0.57627118644067798</v>
      </c>
      <c r="G21" s="217">
        <f t="shared" si="11"/>
        <v>0.12429378531073447</v>
      </c>
      <c r="H21" s="209">
        <v>0.20899999999999999</v>
      </c>
      <c r="I21" s="209">
        <v>0.54500000000000004</v>
      </c>
      <c r="J21" s="209">
        <v>0.18</v>
      </c>
      <c r="K21" s="217">
        <f t="shared" si="12"/>
        <v>0.20855614973262032</v>
      </c>
      <c r="L21" s="217">
        <f t="shared" si="13"/>
        <v>0.54545454545454541</v>
      </c>
      <c r="M21" s="217">
        <f t="shared" si="14"/>
        <v>0.15508021390374332</v>
      </c>
      <c r="N21" s="210">
        <v>0.23899999999999999</v>
      </c>
      <c r="O21" s="210">
        <v>0.53800000000000003</v>
      </c>
      <c r="P21" s="210">
        <v>0.16300000000000001</v>
      </c>
      <c r="Q21" s="217">
        <f t="shared" si="15"/>
        <v>0.23595505617977527</v>
      </c>
      <c r="R21" s="217">
        <f t="shared" si="16"/>
        <v>0.4550561797752809</v>
      </c>
      <c r="S21" s="217">
        <f t="shared" si="17"/>
        <v>0.1348314606741573</v>
      </c>
      <c r="T21" s="191"/>
      <c r="U21" s="91" t="s">
        <v>7</v>
      </c>
      <c r="V21" s="203">
        <v>177</v>
      </c>
      <c r="W21" s="204">
        <v>43</v>
      </c>
      <c r="X21" s="204">
        <v>102</v>
      </c>
      <c r="Y21" s="204">
        <v>22</v>
      </c>
      <c r="Z21" s="184">
        <v>187</v>
      </c>
      <c r="AA21" s="225">
        <v>39</v>
      </c>
      <c r="AB21" s="225">
        <v>102</v>
      </c>
      <c r="AC21" s="225">
        <v>29</v>
      </c>
      <c r="AD21" s="232">
        <v>178</v>
      </c>
      <c r="AE21" s="225">
        <v>42</v>
      </c>
      <c r="AF21" s="225">
        <v>81</v>
      </c>
      <c r="AG21" s="225">
        <v>24</v>
      </c>
      <c r="AH21" s="194"/>
    </row>
    <row r="22" spans="1:34" ht="30.6" customHeight="1" x14ac:dyDescent="0.45">
      <c r="A22" s="91" t="s">
        <v>8</v>
      </c>
      <c r="B22" s="209">
        <v>0.17299999999999999</v>
      </c>
      <c r="C22" s="209">
        <v>0.58099999999999996</v>
      </c>
      <c r="D22" s="209">
        <v>0.17199999999999999</v>
      </c>
      <c r="E22" s="217">
        <f t="shared" si="9"/>
        <v>0.15306122448979592</v>
      </c>
      <c r="F22" s="217">
        <f t="shared" si="10"/>
        <v>0.54591836734693877</v>
      </c>
      <c r="G22" s="217">
        <f t="shared" si="11"/>
        <v>0.21428571428571427</v>
      </c>
      <c r="H22" s="209">
        <v>0.18</v>
      </c>
      <c r="I22" s="209">
        <v>0.59199999999999997</v>
      </c>
      <c r="J22" s="209">
        <v>0.16900000000000001</v>
      </c>
      <c r="K22" s="217">
        <f t="shared" si="12"/>
        <v>0.19889502762430938</v>
      </c>
      <c r="L22" s="217">
        <f t="shared" si="13"/>
        <v>0.62430939226519333</v>
      </c>
      <c r="M22" s="217">
        <f t="shared" si="14"/>
        <v>0.11049723756906077</v>
      </c>
      <c r="N22" s="210">
        <v>0.188</v>
      </c>
      <c r="O22" s="210">
        <v>0.58699999999999997</v>
      </c>
      <c r="P22" s="210">
        <v>0.16400000000000001</v>
      </c>
      <c r="Q22" s="217">
        <f t="shared" si="15"/>
        <v>0.16371681415929204</v>
      </c>
      <c r="R22" s="217">
        <f t="shared" si="16"/>
        <v>0.60176991150442483</v>
      </c>
      <c r="S22" s="217">
        <f t="shared" si="17"/>
        <v>0.1415929203539823</v>
      </c>
      <c r="T22" s="191"/>
      <c r="U22" s="91" t="s">
        <v>8</v>
      </c>
      <c r="V22" s="203">
        <v>196</v>
      </c>
      <c r="W22" s="204">
        <v>30</v>
      </c>
      <c r="X22" s="204">
        <v>107</v>
      </c>
      <c r="Y22" s="204">
        <v>42</v>
      </c>
      <c r="Z22" s="184">
        <v>181</v>
      </c>
      <c r="AA22" s="225">
        <v>36</v>
      </c>
      <c r="AB22" s="225">
        <v>113</v>
      </c>
      <c r="AC22" s="225">
        <v>20</v>
      </c>
      <c r="AD22" s="232">
        <v>226</v>
      </c>
      <c r="AE22" s="225">
        <v>37</v>
      </c>
      <c r="AF22" s="225">
        <v>136</v>
      </c>
      <c r="AG22" s="225">
        <v>32</v>
      </c>
      <c r="AH22" s="194"/>
    </row>
    <row r="23" spans="1:34" ht="30.6" customHeight="1" x14ac:dyDescent="0.45">
      <c r="A23" s="91" t="s">
        <v>9</v>
      </c>
      <c r="B23" s="209">
        <v>0.14000000000000001</v>
      </c>
      <c r="C23" s="209">
        <v>0.621</v>
      </c>
      <c r="D23" s="209">
        <v>0.17599999999999999</v>
      </c>
      <c r="E23" s="217">
        <f t="shared" si="9"/>
        <v>0.13839285714285715</v>
      </c>
      <c r="F23" s="217">
        <f t="shared" si="10"/>
        <v>0.5982142857142857</v>
      </c>
      <c r="G23" s="217">
        <f t="shared" si="11"/>
        <v>0.18303571428571427</v>
      </c>
      <c r="H23" s="209">
        <v>0.155</v>
      </c>
      <c r="I23" s="209">
        <v>0.60699999999999998</v>
      </c>
      <c r="J23" s="209">
        <v>0.17799999999999999</v>
      </c>
      <c r="K23" s="217">
        <f t="shared" si="12"/>
        <v>0.12648221343873517</v>
      </c>
      <c r="L23" s="217">
        <f t="shared" si="13"/>
        <v>0.65612648221343872</v>
      </c>
      <c r="M23" s="217">
        <f t="shared" si="14"/>
        <v>0.15810276679841898</v>
      </c>
      <c r="N23" s="210">
        <v>0.16600000000000001</v>
      </c>
      <c r="O23" s="210">
        <v>0.63200000000000001</v>
      </c>
      <c r="P23" s="210">
        <v>0.151</v>
      </c>
      <c r="Q23" s="217">
        <f t="shared" si="15"/>
        <v>0.1828793774319066</v>
      </c>
      <c r="R23" s="217">
        <f t="shared" si="16"/>
        <v>0.6108949416342413</v>
      </c>
      <c r="S23" s="217">
        <f t="shared" si="17"/>
        <v>0.13618677042801555</v>
      </c>
      <c r="T23" s="191"/>
      <c r="U23" s="91" t="s">
        <v>9</v>
      </c>
      <c r="V23" s="203">
        <v>224</v>
      </c>
      <c r="W23" s="204">
        <v>31</v>
      </c>
      <c r="X23" s="204">
        <v>134</v>
      </c>
      <c r="Y23" s="204">
        <v>41</v>
      </c>
      <c r="Z23" s="184">
        <v>253</v>
      </c>
      <c r="AA23" s="225">
        <v>32</v>
      </c>
      <c r="AB23" s="225">
        <v>166</v>
      </c>
      <c r="AC23" s="225">
        <v>40</v>
      </c>
      <c r="AD23" s="232">
        <v>257</v>
      </c>
      <c r="AE23" s="225">
        <v>47</v>
      </c>
      <c r="AF23" s="225">
        <v>157</v>
      </c>
      <c r="AG23" s="225">
        <v>35</v>
      </c>
      <c r="AH23" s="194"/>
    </row>
    <row r="24" spans="1:34" ht="30.6" customHeight="1" x14ac:dyDescent="0.45">
      <c r="A24" s="91" t="s">
        <v>10</v>
      </c>
      <c r="B24" s="209">
        <v>0.115</v>
      </c>
      <c r="C24" s="209">
        <v>0.64700000000000002</v>
      </c>
      <c r="D24" s="209">
        <v>0.16700000000000001</v>
      </c>
      <c r="E24" s="217">
        <f t="shared" si="9"/>
        <v>0.1048951048951049</v>
      </c>
      <c r="F24" s="217">
        <f t="shared" si="10"/>
        <v>0.64685314685314688</v>
      </c>
      <c r="G24" s="217">
        <f t="shared" si="11"/>
        <v>0.19230769230769232</v>
      </c>
      <c r="H24" s="209">
        <v>0.114</v>
      </c>
      <c r="I24" s="209">
        <v>0.65200000000000002</v>
      </c>
      <c r="J24" s="209">
        <v>0.17100000000000001</v>
      </c>
      <c r="K24" s="217">
        <f t="shared" si="12"/>
        <v>0.14232209737827714</v>
      </c>
      <c r="L24" s="217">
        <f t="shared" si="13"/>
        <v>0.66666666666666663</v>
      </c>
      <c r="M24" s="217">
        <f t="shared" si="14"/>
        <v>0.10861423220973783</v>
      </c>
      <c r="N24" s="210">
        <v>0.121</v>
      </c>
      <c r="O24" s="210">
        <v>0.65400000000000003</v>
      </c>
      <c r="P24" s="210">
        <v>0.17100000000000001</v>
      </c>
      <c r="Q24" s="217">
        <f t="shared" si="15"/>
        <v>0.14492753623188406</v>
      </c>
      <c r="R24" s="217">
        <f t="shared" si="16"/>
        <v>0.64492753623188404</v>
      </c>
      <c r="S24" s="217">
        <f t="shared" si="17"/>
        <v>0.11956521739130435</v>
      </c>
      <c r="T24" s="191"/>
      <c r="U24" s="91" t="s">
        <v>10</v>
      </c>
      <c r="V24" s="203">
        <v>286</v>
      </c>
      <c r="W24" s="204">
        <v>30</v>
      </c>
      <c r="X24" s="204">
        <v>185</v>
      </c>
      <c r="Y24" s="204">
        <v>55</v>
      </c>
      <c r="Z24" s="184">
        <v>267</v>
      </c>
      <c r="AA24" s="225">
        <v>38</v>
      </c>
      <c r="AB24" s="225">
        <v>178</v>
      </c>
      <c r="AC24" s="225">
        <v>29</v>
      </c>
      <c r="AD24" s="232">
        <v>276</v>
      </c>
      <c r="AE24" s="225">
        <v>40</v>
      </c>
      <c r="AF24" s="225">
        <v>178</v>
      </c>
      <c r="AG24" s="225">
        <v>33</v>
      </c>
      <c r="AH24" s="194"/>
    </row>
    <row r="25" spans="1:34" ht="30.6" customHeight="1" x14ac:dyDescent="0.45">
      <c r="A25" s="91" t="s">
        <v>11</v>
      </c>
      <c r="B25" s="209">
        <v>0.108</v>
      </c>
      <c r="C25" s="209">
        <v>0.66200000000000003</v>
      </c>
      <c r="D25" s="209">
        <v>0.17699999999999999</v>
      </c>
      <c r="E25" s="217">
        <f t="shared" si="9"/>
        <v>8.2901554404145081E-2</v>
      </c>
      <c r="F25" s="217">
        <f t="shared" si="10"/>
        <v>0.71502590673575128</v>
      </c>
      <c r="G25" s="217">
        <f t="shared" si="11"/>
        <v>0.15025906735751296</v>
      </c>
      <c r="H25" s="209">
        <v>0.115</v>
      </c>
      <c r="I25" s="209">
        <v>0.65800000000000003</v>
      </c>
      <c r="J25" s="209">
        <v>0.17100000000000001</v>
      </c>
      <c r="K25" s="217">
        <f t="shared" si="12"/>
        <v>0.12437810945273632</v>
      </c>
      <c r="L25" s="217">
        <f t="shared" si="13"/>
        <v>0.66666666666666663</v>
      </c>
      <c r="M25" s="217">
        <f t="shared" si="14"/>
        <v>0.12935323383084577</v>
      </c>
      <c r="N25" s="210">
        <v>0.13700000000000001</v>
      </c>
      <c r="O25" s="210">
        <v>0.65</v>
      </c>
      <c r="P25" s="210">
        <v>0.16900000000000001</v>
      </c>
      <c r="Q25" s="217">
        <f t="shared" si="15"/>
        <v>0.13227513227513227</v>
      </c>
      <c r="R25" s="217">
        <f t="shared" si="16"/>
        <v>0.65079365079365081</v>
      </c>
      <c r="S25" s="217">
        <f t="shared" si="17"/>
        <v>0.14814814814814814</v>
      </c>
      <c r="T25" s="191"/>
      <c r="U25" s="91" t="s">
        <v>11</v>
      </c>
      <c r="V25" s="203">
        <v>193</v>
      </c>
      <c r="W25" s="204">
        <v>16</v>
      </c>
      <c r="X25" s="204">
        <v>138</v>
      </c>
      <c r="Y25" s="204">
        <v>29</v>
      </c>
      <c r="Z25" s="184">
        <v>201</v>
      </c>
      <c r="AA25" s="225">
        <v>25</v>
      </c>
      <c r="AB25" s="225">
        <v>134</v>
      </c>
      <c r="AC25" s="225">
        <v>26</v>
      </c>
      <c r="AD25" s="232">
        <v>189</v>
      </c>
      <c r="AE25" s="225">
        <v>25</v>
      </c>
      <c r="AF25" s="225">
        <v>123</v>
      </c>
      <c r="AG25" s="225">
        <v>28</v>
      </c>
      <c r="AH25" s="194"/>
    </row>
    <row r="26" spans="1:34" ht="30.6" customHeight="1" x14ac:dyDescent="0.45">
      <c r="A26" s="91" t="s">
        <v>12</v>
      </c>
      <c r="B26" s="209">
        <v>7.5999999999999998E-2</v>
      </c>
      <c r="C26" s="209">
        <v>0.69099999999999995</v>
      </c>
      <c r="D26" s="209">
        <v>0.19900000000000001</v>
      </c>
      <c r="E26" s="217">
        <f t="shared" si="9"/>
        <v>9.2682926829268292E-2</v>
      </c>
      <c r="F26" s="217">
        <f t="shared" si="10"/>
        <v>0.63414634146341464</v>
      </c>
      <c r="G26" s="217">
        <f t="shared" si="11"/>
        <v>0.2097560975609756</v>
      </c>
      <c r="H26" s="209">
        <v>8.5000000000000006E-2</v>
      </c>
      <c r="I26" s="209">
        <v>0.69699999999999995</v>
      </c>
      <c r="J26" s="209">
        <v>0.19</v>
      </c>
      <c r="K26" s="217">
        <f t="shared" si="12"/>
        <v>9.3896713615023469E-2</v>
      </c>
      <c r="L26" s="217">
        <f t="shared" si="13"/>
        <v>0.676056338028169</v>
      </c>
      <c r="M26" s="217">
        <f t="shared" si="14"/>
        <v>0.20187793427230047</v>
      </c>
      <c r="N26" s="210">
        <v>9.5000000000000001E-2</v>
      </c>
      <c r="O26" s="210">
        <v>0.68600000000000005</v>
      </c>
      <c r="P26" s="210">
        <v>0.19500000000000001</v>
      </c>
      <c r="Q26" s="217">
        <f t="shared" si="15"/>
        <v>8.5714285714285715E-2</v>
      </c>
      <c r="R26" s="217">
        <f t="shared" si="16"/>
        <v>0.66190476190476188</v>
      </c>
      <c r="S26" s="217">
        <f t="shared" si="17"/>
        <v>0.21428571428571427</v>
      </c>
      <c r="T26" s="191"/>
      <c r="U26" s="91" t="s">
        <v>12</v>
      </c>
      <c r="V26" s="203">
        <v>205</v>
      </c>
      <c r="W26" s="204">
        <v>19</v>
      </c>
      <c r="X26" s="204">
        <v>130</v>
      </c>
      <c r="Y26" s="204">
        <v>43</v>
      </c>
      <c r="Z26" s="184">
        <v>213</v>
      </c>
      <c r="AA26" s="225">
        <v>20</v>
      </c>
      <c r="AB26" s="225">
        <v>144</v>
      </c>
      <c r="AC26" s="226">
        <v>43</v>
      </c>
      <c r="AD26" s="232">
        <v>210</v>
      </c>
      <c r="AE26" s="225">
        <v>18</v>
      </c>
      <c r="AF26" s="225">
        <v>139</v>
      </c>
      <c r="AG26" s="225">
        <v>45</v>
      </c>
      <c r="AH26" s="194"/>
    </row>
    <row r="27" spans="1:34" ht="30.6" customHeight="1" x14ac:dyDescent="0.45"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V27" s="205"/>
      <c r="W27" s="205"/>
      <c r="X27" s="205"/>
      <c r="Y27" s="205"/>
      <c r="Z27" s="226"/>
      <c r="AA27" s="226"/>
      <c r="AB27" s="226"/>
      <c r="AC27" s="228"/>
      <c r="AD27" s="226"/>
      <c r="AE27" s="226"/>
      <c r="AF27" s="226"/>
      <c r="AG27" s="226"/>
      <c r="AH27" s="194"/>
    </row>
    <row r="28" spans="1:34" ht="30.6" customHeight="1" x14ac:dyDescent="0.45">
      <c r="A28" s="90"/>
      <c r="B28" s="288" t="s">
        <v>2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90"/>
      <c r="T28" s="193"/>
      <c r="U28" s="111"/>
      <c r="V28" s="206"/>
      <c r="W28" s="206"/>
      <c r="X28" s="206"/>
      <c r="Y28" s="206"/>
      <c r="Z28" s="227"/>
      <c r="AA28" s="227"/>
      <c r="AB28" s="227"/>
      <c r="AC28" s="227"/>
      <c r="AD28" s="227"/>
      <c r="AE28" s="227"/>
      <c r="AF28" s="227"/>
      <c r="AG28" s="227"/>
      <c r="AH28" s="194"/>
    </row>
    <row r="29" spans="1:34" ht="30.6" customHeight="1" x14ac:dyDescent="0.45">
      <c r="A29" s="90"/>
      <c r="B29" s="291" t="s">
        <v>204</v>
      </c>
      <c r="C29" s="292"/>
      <c r="D29" s="292"/>
      <c r="E29" s="292"/>
      <c r="F29" s="292"/>
      <c r="G29" s="293"/>
      <c r="H29" s="291" t="s">
        <v>203</v>
      </c>
      <c r="I29" s="292"/>
      <c r="J29" s="292"/>
      <c r="K29" s="292"/>
      <c r="L29" s="292"/>
      <c r="M29" s="293"/>
      <c r="N29" s="291" t="s">
        <v>202</v>
      </c>
      <c r="O29" s="292"/>
      <c r="P29" s="292"/>
      <c r="Q29" s="292"/>
      <c r="R29" s="292"/>
      <c r="S29" s="293"/>
      <c r="T29" s="189"/>
      <c r="U29" s="111"/>
      <c r="V29" s="306" t="s">
        <v>197</v>
      </c>
      <c r="W29" s="307"/>
      <c r="X29" s="307"/>
      <c r="Y29" s="308"/>
      <c r="Z29" s="309" t="s">
        <v>15</v>
      </c>
      <c r="AA29" s="310"/>
      <c r="AB29" s="310"/>
      <c r="AC29" s="311"/>
      <c r="AD29" s="309" t="s">
        <v>14</v>
      </c>
      <c r="AE29" s="310"/>
      <c r="AF29" s="310"/>
      <c r="AG29" s="311"/>
      <c r="AH29" s="194"/>
    </row>
    <row r="30" spans="1:34" ht="30.6" customHeight="1" x14ac:dyDescent="0.45">
      <c r="A30" s="91"/>
      <c r="B30" s="294" t="s">
        <v>3</v>
      </c>
      <c r="C30" s="295"/>
      <c r="D30" s="296"/>
      <c r="E30" s="297" t="s">
        <v>4</v>
      </c>
      <c r="F30" s="298"/>
      <c r="G30" s="299"/>
      <c r="H30" s="294" t="s">
        <v>3</v>
      </c>
      <c r="I30" s="295"/>
      <c r="J30" s="296"/>
      <c r="K30" s="297" t="s">
        <v>4</v>
      </c>
      <c r="L30" s="298"/>
      <c r="M30" s="299"/>
      <c r="N30" s="294" t="s">
        <v>3</v>
      </c>
      <c r="O30" s="295"/>
      <c r="P30" s="296"/>
      <c r="Q30" s="297" t="s">
        <v>4</v>
      </c>
      <c r="R30" s="298"/>
      <c r="S30" s="299"/>
      <c r="T30" s="189"/>
      <c r="U30" s="207"/>
      <c r="V30" s="300" t="s">
        <v>4</v>
      </c>
      <c r="W30" s="301"/>
      <c r="X30" s="301"/>
      <c r="Y30" s="302"/>
      <c r="Z30" s="303" t="s">
        <v>4</v>
      </c>
      <c r="AA30" s="304"/>
      <c r="AB30" s="304"/>
      <c r="AC30" s="305"/>
      <c r="AD30" s="303" t="s">
        <v>4</v>
      </c>
      <c r="AE30" s="304"/>
      <c r="AF30" s="304"/>
      <c r="AG30" s="305"/>
      <c r="AH30" s="194"/>
    </row>
    <row r="31" spans="1:34" ht="30.6" customHeight="1" x14ac:dyDescent="0.45">
      <c r="A31" s="110" t="s">
        <v>16</v>
      </c>
      <c r="B31" s="211" t="s">
        <v>17</v>
      </c>
      <c r="C31" s="212" t="s">
        <v>18</v>
      </c>
      <c r="D31" s="211" t="s">
        <v>19</v>
      </c>
      <c r="E31" s="213" t="s">
        <v>17</v>
      </c>
      <c r="F31" s="214" t="s">
        <v>18</v>
      </c>
      <c r="G31" s="213" t="s">
        <v>19</v>
      </c>
      <c r="H31" s="211" t="s">
        <v>17</v>
      </c>
      <c r="I31" s="212" t="s">
        <v>18</v>
      </c>
      <c r="J31" s="211" t="s">
        <v>19</v>
      </c>
      <c r="K31" s="213" t="s">
        <v>17</v>
      </c>
      <c r="L31" s="214" t="s">
        <v>18</v>
      </c>
      <c r="M31" s="213" t="s">
        <v>19</v>
      </c>
      <c r="N31" s="211" t="s">
        <v>17</v>
      </c>
      <c r="O31" s="212" t="s">
        <v>18</v>
      </c>
      <c r="P31" s="211" t="s">
        <v>19</v>
      </c>
      <c r="Q31" s="213" t="s">
        <v>17</v>
      </c>
      <c r="R31" s="214" t="s">
        <v>18</v>
      </c>
      <c r="S31" s="213" t="s">
        <v>19</v>
      </c>
      <c r="T31" s="190"/>
      <c r="U31" s="110" t="s">
        <v>16</v>
      </c>
      <c r="V31" s="196" t="s">
        <v>153</v>
      </c>
      <c r="W31" s="197" t="s">
        <v>17</v>
      </c>
      <c r="X31" s="198" t="s">
        <v>18</v>
      </c>
      <c r="Y31" s="197" t="s">
        <v>19</v>
      </c>
      <c r="Z31" s="218" t="s">
        <v>153</v>
      </c>
      <c r="AA31" s="219" t="s">
        <v>17</v>
      </c>
      <c r="AB31" s="220" t="s">
        <v>18</v>
      </c>
      <c r="AC31" s="219" t="s">
        <v>19</v>
      </c>
      <c r="AD31" s="229" t="s">
        <v>153</v>
      </c>
      <c r="AE31" s="219" t="s">
        <v>17</v>
      </c>
      <c r="AF31" s="220" t="s">
        <v>18</v>
      </c>
      <c r="AG31" s="219" t="s">
        <v>19</v>
      </c>
      <c r="AH31" s="194"/>
    </row>
    <row r="32" spans="1:34" ht="30.6" customHeight="1" thickBot="1" x14ac:dyDescent="0.5">
      <c r="A32" s="94" t="s">
        <v>5</v>
      </c>
      <c r="B32" s="208">
        <v>0.14199999999999999</v>
      </c>
      <c r="C32" s="208">
        <v>0.59599999999999997</v>
      </c>
      <c r="D32" s="208">
        <v>0.192</v>
      </c>
      <c r="E32" s="215">
        <f>W32/V32</f>
        <v>0.13836017569546119</v>
      </c>
      <c r="F32" s="215">
        <f>X32/V32</f>
        <v>0.60834553440702777</v>
      </c>
      <c r="G32" s="215">
        <f>Y32/V32</f>
        <v>0.1822840409956076</v>
      </c>
      <c r="H32" s="208">
        <v>0.151</v>
      </c>
      <c r="I32" s="208">
        <v>0.59</v>
      </c>
      <c r="J32" s="208">
        <v>0.19500000000000001</v>
      </c>
      <c r="K32" s="215">
        <f>AA32/Z32</f>
        <v>0.15135135135135136</v>
      </c>
      <c r="L32" s="215">
        <f>AB32/Z32</f>
        <v>0.59594594594594597</v>
      </c>
      <c r="M32" s="215">
        <f>AC32/Z32</f>
        <v>0.18783783783783783</v>
      </c>
      <c r="N32" s="208">
        <v>0.158</v>
      </c>
      <c r="O32" s="208">
        <v>0.59499999999999997</v>
      </c>
      <c r="P32" s="208">
        <v>0.184</v>
      </c>
      <c r="Q32" s="215">
        <f>AE32/AD32</f>
        <v>0.17064846416382254</v>
      </c>
      <c r="R32" s="215">
        <f>AF32/AD32</f>
        <v>0.57747440273037542</v>
      </c>
      <c r="S32" s="215">
        <f>AG32/AD32</f>
        <v>0.16996587030716723</v>
      </c>
      <c r="T32" s="191"/>
      <c r="U32" s="94" t="s">
        <v>5</v>
      </c>
      <c r="V32" s="199">
        <v>1366</v>
      </c>
      <c r="W32" s="200">
        <v>189</v>
      </c>
      <c r="X32" s="200">
        <v>831</v>
      </c>
      <c r="Y32" s="200">
        <v>249</v>
      </c>
      <c r="Z32" s="221">
        <v>1480</v>
      </c>
      <c r="AA32" s="222">
        <v>224</v>
      </c>
      <c r="AB32" s="222">
        <v>882</v>
      </c>
      <c r="AC32" s="222">
        <v>278</v>
      </c>
      <c r="AD32" s="230">
        <v>1465</v>
      </c>
      <c r="AE32" s="222">
        <v>250</v>
      </c>
      <c r="AF32" s="222">
        <v>846</v>
      </c>
      <c r="AG32" s="222">
        <v>249</v>
      </c>
      <c r="AH32" s="194"/>
    </row>
    <row r="33" spans="1:34" ht="30.6" customHeight="1" thickTop="1" x14ac:dyDescent="0.45">
      <c r="A33" s="98" t="s">
        <v>6</v>
      </c>
      <c r="B33" s="209">
        <v>0.17299999999999999</v>
      </c>
      <c r="C33" s="209">
        <v>0.40300000000000002</v>
      </c>
      <c r="D33" s="209">
        <v>0.35</v>
      </c>
      <c r="E33" s="216">
        <f t="shared" ref="E33:E39" si="18">W33/V33</f>
        <v>0.21428571428571427</v>
      </c>
      <c r="F33" s="216">
        <f t="shared" ref="F33:F39" si="19">X33/V33</f>
        <v>0.21428571428571427</v>
      </c>
      <c r="G33" s="216">
        <f t="shared" ref="G33:G39" si="20">Y33/V33</f>
        <v>0.39285714285714285</v>
      </c>
      <c r="H33" s="209">
        <v>0.17599999999999999</v>
      </c>
      <c r="I33" s="209">
        <v>0.36699999999999999</v>
      </c>
      <c r="J33" s="209">
        <v>0.42099999999999999</v>
      </c>
      <c r="K33" s="216">
        <f t="shared" ref="K33:K39" si="21">AA33/Z33</f>
        <v>3.2258064516129031E-2</v>
      </c>
      <c r="L33" s="216">
        <f t="shared" ref="L33:L39" si="22">AB33/Z33</f>
        <v>0.4838709677419355</v>
      </c>
      <c r="M33" s="216">
        <f t="shared" ref="M33:M39" si="23">AC33/Z33</f>
        <v>0.45161290322580644</v>
      </c>
      <c r="N33" s="209">
        <v>0.20399999999999999</v>
      </c>
      <c r="O33" s="209">
        <v>0.374</v>
      </c>
      <c r="P33" s="209">
        <v>0.34699999999999998</v>
      </c>
      <c r="Q33" s="216">
        <f t="shared" ref="Q33:Q39" si="24">AE33/AD33</f>
        <v>0.27272727272727271</v>
      </c>
      <c r="R33" s="216">
        <f t="shared" ref="R33:R39" si="25">AF33/AD33</f>
        <v>0.33333333333333331</v>
      </c>
      <c r="S33" s="216">
        <f t="shared" ref="S33:S39" si="26">AG33/AD33</f>
        <v>0.27272727272727271</v>
      </c>
      <c r="T33" s="191"/>
      <c r="U33" s="98" t="s">
        <v>6</v>
      </c>
      <c r="V33" s="201">
        <v>28</v>
      </c>
      <c r="W33" s="202">
        <v>6</v>
      </c>
      <c r="X33" s="202">
        <v>6</v>
      </c>
      <c r="Y33" s="202">
        <v>11</v>
      </c>
      <c r="Z33" s="223">
        <v>31</v>
      </c>
      <c r="AA33" s="224">
        <v>1</v>
      </c>
      <c r="AB33" s="224">
        <v>15</v>
      </c>
      <c r="AC33" s="224">
        <v>14</v>
      </c>
      <c r="AD33" s="231">
        <v>33</v>
      </c>
      <c r="AE33" s="224">
        <v>9</v>
      </c>
      <c r="AF33" s="224">
        <v>11</v>
      </c>
      <c r="AG33" s="224">
        <v>9</v>
      </c>
      <c r="AH33" s="194"/>
    </row>
    <row r="34" spans="1:34" ht="30.6" customHeight="1" x14ac:dyDescent="0.45">
      <c r="A34" s="91" t="s">
        <v>7</v>
      </c>
      <c r="B34" s="209">
        <v>0.19</v>
      </c>
      <c r="C34" s="209">
        <v>0.48899999999999999</v>
      </c>
      <c r="D34" s="209">
        <v>0.22700000000000001</v>
      </c>
      <c r="E34" s="217">
        <f t="shared" si="18"/>
        <v>0.15606936416184972</v>
      </c>
      <c r="F34" s="217">
        <f t="shared" si="19"/>
        <v>0.51445086705202314</v>
      </c>
      <c r="G34" s="217">
        <f t="shared" si="20"/>
        <v>0.22543352601156069</v>
      </c>
      <c r="H34" s="209">
        <v>0.193</v>
      </c>
      <c r="I34" s="209">
        <v>0.49099999999999999</v>
      </c>
      <c r="J34" s="209">
        <v>0.23599999999999999</v>
      </c>
      <c r="K34" s="217">
        <f t="shared" si="21"/>
        <v>0.19402985074626866</v>
      </c>
      <c r="L34" s="217">
        <f t="shared" si="22"/>
        <v>0.5074626865671642</v>
      </c>
      <c r="M34" s="217">
        <f t="shared" si="23"/>
        <v>0.23880597014925373</v>
      </c>
      <c r="N34" s="210">
        <v>0.20200000000000001</v>
      </c>
      <c r="O34" s="210">
        <v>0.51300000000000001</v>
      </c>
      <c r="P34" s="210">
        <v>0.20399999999999999</v>
      </c>
      <c r="Q34" s="217">
        <f t="shared" si="24"/>
        <v>0.23857868020304568</v>
      </c>
      <c r="R34" s="217">
        <f t="shared" si="25"/>
        <v>0.45685279187817257</v>
      </c>
      <c r="S34" s="217">
        <f t="shared" si="26"/>
        <v>0.20304568527918782</v>
      </c>
      <c r="T34" s="191"/>
      <c r="U34" s="91" t="s">
        <v>7</v>
      </c>
      <c r="V34" s="203">
        <v>173</v>
      </c>
      <c r="W34" s="204">
        <v>27</v>
      </c>
      <c r="X34" s="204">
        <v>89</v>
      </c>
      <c r="Y34" s="204">
        <v>39</v>
      </c>
      <c r="Z34" s="184">
        <v>201</v>
      </c>
      <c r="AA34" s="225">
        <v>39</v>
      </c>
      <c r="AB34" s="225">
        <v>102</v>
      </c>
      <c r="AC34" s="225">
        <v>48</v>
      </c>
      <c r="AD34" s="232">
        <v>197</v>
      </c>
      <c r="AE34" s="225">
        <v>47</v>
      </c>
      <c r="AF34" s="225">
        <v>90</v>
      </c>
      <c r="AG34" s="225">
        <v>40</v>
      </c>
      <c r="AH34" s="194"/>
    </row>
    <row r="35" spans="1:34" ht="30.6" customHeight="1" x14ac:dyDescent="0.45">
      <c r="A35" s="91" t="s">
        <v>8</v>
      </c>
      <c r="B35" s="209">
        <v>0.16800000000000001</v>
      </c>
      <c r="C35" s="209">
        <v>0.51500000000000001</v>
      </c>
      <c r="D35" s="209">
        <v>0.22</v>
      </c>
      <c r="E35" s="217">
        <f t="shared" si="18"/>
        <v>0.17616580310880828</v>
      </c>
      <c r="F35" s="217">
        <f t="shared" si="19"/>
        <v>0.57512953367875652</v>
      </c>
      <c r="G35" s="217">
        <f t="shared" si="20"/>
        <v>0.17098445595854922</v>
      </c>
      <c r="H35" s="209">
        <v>0.17299999999999999</v>
      </c>
      <c r="I35" s="209">
        <v>0.52700000000000002</v>
      </c>
      <c r="J35" s="209">
        <v>0.222</v>
      </c>
      <c r="K35" s="217">
        <f t="shared" si="21"/>
        <v>0.15816326530612246</v>
      </c>
      <c r="L35" s="217">
        <f t="shared" si="22"/>
        <v>0.58163265306122447</v>
      </c>
      <c r="M35" s="217">
        <f t="shared" si="23"/>
        <v>0.20408163265306123</v>
      </c>
      <c r="N35" s="210">
        <v>0.16500000000000001</v>
      </c>
      <c r="O35" s="210">
        <v>0.53400000000000003</v>
      </c>
      <c r="P35" s="210">
        <v>0.218</v>
      </c>
      <c r="Q35" s="217">
        <f t="shared" si="24"/>
        <v>0.17241379310344829</v>
      </c>
      <c r="R35" s="217">
        <f t="shared" si="25"/>
        <v>0.51724137931034486</v>
      </c>
      <c r="S35" s="217">
        <f t="shared" si="26"/>
        <v>0.17241379310344829</v>
      </c>
      <c r="T35" s="191"/>
      <c r="U35" s="91" t="s">
        <v>8</v>
      </c>
      <c r="V35" s="203">
        <v>193</v>
      </c>
      <c r="W35" s="204">
        <v>34</v>
      </c>
      <c r="X35" s="204">
        <v>111</v>
      </c>
      <c r="Y35" s="204">
        <v>33</v>
      </c>
      <c r="Z35" s="184">
        <v>196</v>
      </c>
      <c r="AA35" s="225">
        <v>31</v>
      </c>
      <c r="AB35" s="225">
        <v>114</v>
      </c>
      <c r="AC35" s="225">
        <v>40</v>
      </c>
      <c r="AD35" s="232">
        <v>203</v>
      </c>
      <c r="AE35" s="225">
        <v>35</v>
      </c>
      <c r="AF35" s="225">
        <v>105</v>
      </c>
      <c r="AG35" s="225">
        <v>35</v>
      </c>
      <c r="AH35" s="194"/>
    </row>
    <row r="36" spans="1:34" ht="30.6" customHeight="1" x14ac:dyDescent="0.45">
      <c r="A36" s="91" t="s">
        <v>9</v>
      </c>
      <c r="B36" s="209">
        <v>0.14099999999999999</v>
      </c>
      <c r="C36" s="209">
        <v>0.58099999999999996</v>
      </c>
      <c r="D36" s="209">
        <v>0.19400000000000001</v>
      </c>
      <c r="E36" s="217">
        <f t="shared" si="18"/>
        <v>0.11739130434782609</v>
      </c>
      <c r="F36" s="217">
        <f t="shared" si="19"/>
        <v>0.59565217391304348</v>
      </c>
      <c r="G36" s="217">
        <f t="shared" si="20"/>
        <v>0.19565217391304349</v>
      </c>
      <c r="H36" s="209">
        <v>0.157</v>
      </c>
      <c r="I36" s="209">
        <v>0.58199999999999996</v>
      </c>
      <c r="J36" s="209">
        <v>0.187</v>
      </c>
      <c r="K36" s="217">
        <f t="shared" si="21"/>
        <v>0.16602316602316602</v>
      </c>
      <c r="L36" s="217">
        <f t="shared" si="22"/>
        <v>0.5791505791505791</v>
      </c>
      <c r="M36" s="217">
        <f t="shared" si="23"/>
        <v>0.16988416988416988</v>
      </c>
      <c r="N36" s="210">
        <v>0.16800000000000001</v>
      </c>
      <c r="O36" s="210">
        <v>0.57599999999999996</v>
      </c>
      <c r="P36" s="210">
        <v>0.185</v>
      </c>
      <c r="Q36" s="217">
        <f t="shared" si="24"/>
        <v>0.17153284671532848</v>
      </c>
      <c r="R36" s="217">
        <f t="shared" si="25"/>
        <v>0.5948905109489051</v>
      </c>
      <c r="S36" s="217">
        <f t="shared" si="26"/>
        <v>0.16058394160583941</v>
      </c>
      <c r="T36" s="191"/>
      <c r="U36" s="91" t="s">
        <v>9</v>
      </c>
      <c r="V36" s="203">
        <v>230</v>
      </c>
      <c r="W36" s="204">
        <v>27</v>
      </c>
      <c r="X36" s="204">
        <v>137</v>
      </c>
      <c r="Y36" s="204">
        <v>45</v>
      </c>
      <c r="Z36" s="184">
        <v>259</v>
      </c>
      <c r="AA36" s="225">
        <v>43</v>
      </c>
      <c r="AB36" s="225">
        <v>150</v>
      </c>
      <c r="AC36" s="225">
        <v>44</v>
      </c>
      <c r="AD36" s="232">
        <v>274</v>
      </c>
      <c r="AE36" s="225">
        <v>47</v>
      </c>
      <c r="AF36" s="225">
        <v>163</v>
      </c>
      <c r="AG36" s="225">
        <v>44</v>
      </c>
      <c r="AH36" s="194"/>
    </row>
    <row r="37" spans="1:34" ht="30.6" customHeight="1" x14ac:dyDescent="0.45">
      <c r="A37" s="91" t="s">
        <v>10</v>
      </c>
      <c r="B37" s="209">
        <v>0.13200000000000001</v>
      </c>
      <c r="C37" s="209">
        <v>0.63100000000000001</v>
      </c>
      <c r="D37" s="209">
        <v>0.158</v>
      </c>
      <c r="E37" s="217">
        <f t="shared" si="18"/>
        <v>0.13879003558718861</v>
      </c>
      <c r="F37" s="217">
        <f t="shared" si="19"/>
        <v>0.62989323843416367</v>
      </c>
      <c r="G37" s="217">
        <f t="shared" si="20"/>
        <v>0.16014234875444841</v>
      </c>
      <c r="H37" s="209">
        <v>0.14000000000000001</v>
      </c>
      <c r="I37" s="209">
        <v>0.61699999999999999</v>
      </c>
      <c r="J37" s="209">
        <v>0.16200000000000001</v>
      </c>
      <c r="K37" s="217">
        <f t="shared" si="21"/>
        <v>0.12745098039215685</v>
      </c>
      <c r="L37" s="217">
        <f t="shared" si="22"/>
        <v>0.6143790849673203</v>
      </c>
      <c r="M37" s="217">
        <f t="shared" si="23"/>
        <v>0.16666666666666666</v>
      </c>
      <c r="N37" s="210">
        <v>0.14199999999999999</v>
      </c>
      <c r="O37" s="210">
        <v>0.62</v>
      </c>
      <c r="P37" s="210">
        <v>0.16500000000000001</v>
      </c>
      <c r="Q37" s="217">
        <f t="shared" si="24"/>
        <v>0.145985401459854</v>
      </c>
      <c r="R37" s="217">
        <f t="shared" si="25"/>
        <v>0.64963503649635035</v>
      </c>
      <c r="S37" s="217">
        <f t="shared" si="26"/>
        <v>0.11678832116788321</v>
      </c>
      <c r="T37" s="191"/>
      <c r="U37" s="91" t="s">
        <v>10</v>
      </c>
      <c r="V37" s="203">
        <v>281</v>
      </c>
      <c r="W37" s="204">
        <v>39</v>
      </c>
      <c r="X37" s="204">
        <v>177</v>
      </c>
      <c r="Y37" s="204">
        <v>45</v>
      </c>
      <c r="Z37" s="184">
        <v>306</v>
      </c>
      <c r="AA37" s="225">
        <v>39</v>
      </c>
      <c r="AB37" s="225">
        <v>188</v>
      </c>
      <c r="AC37" s="225">
        <v>51</v>
      </c>
      <c r="AD37" s="232">
        <v>274</v>
      </c>
      <c r="AE37" s="225">
        <v>40</v>
      </c>
      <c r="AF37" s="225">
        <v>178</v>
      </c>
      <c r="AG37" s="225">
        <v>32</v>
      </c>
      <c r="AH37" s="194"/>
    </row>
    <row r="38" spans="1:34" ht="30.6" customHeight="1" x14ac:dyDescent="0.45">
      <c r="A38" s="91" t="s">
        <v>11</v>
      </c>
      <c r="B38" s="209">
        <v>0.13500000000000001</v>
      </c>
      <c r="C38" s="209">
        <v>0.64900000000000002</v>
      </c>
      <c r="D38" s="209">
        <v>0.16200000000000001</v>
      </c>
      <c r="E38" s="217">
        <f t="shared" si="18"/>
        <v>0.12315270935960591</v>
      </c>
      <c r="F38" s="217">
        <f t="shared" si="19"/>
        <v>0.69950738916256161</v>
      </c>
      <c r="G38" s="217">
        <f t="shared" si="20"/>
        <v>0.13300492610837439</v>
      </c>
      <c r="H38" s="209">
        <v>0.14099999999999999</v>
      </c>
      <c r="I38" s="209">
        <v>0.64</v>
      </c>
      <c r="J38" s="209">
        <v>0.17</v>
      </c>
      <c r="K38" s="217">
        <f t="shared" si="21"/>
        <v>0.17788461538461539</v>
      </c>
      <c r="L38" s="217">
        <f t="shared" si="22"/>
        <v>0.58173076923076927</v>
      </c>
      <c r="M38" s="217">
        <f t="shared" si="23"/>
        <v>0.16826923076923078</v>
      </c>
      <c r="N38" s="210">
        <v>0.14799999999999999</v>
      </c>
      <c r="O38" s="210">
        <v>0.64600000000000002</v>
      </c>
      <c r="P38" s="210">
        <v>0.16200000000000001</v>
      </c>
      <c r="Q38" s="217">
        <f t="shared" si="24"/>
        <v>0.11737089201877934</v>
      </c>
      <c r="R38" s="217">
        <f t="shared" si="25"/>
        <v>0.59624413145539901</v>
      </c>
      <c r="S38" s="217">
        <f t="shared" si="26"/>
        <v>0.2300469483568075</v>
      </c>
      <c r="T38" s="191"/>
      <c r="U38" s="91" t="s">
        <v>11</v>
      </c>
      <c r="V38" s="203">
        <v>203</v>
      </c>
      <c r="W38" s="204">
        <v>25</v>
      </c>
      <c r="X38" s="204">
        <v>142</v>
      </c>
      <c r="Y38" s="204">
        <v>27</v>
      </c>
      <c r="Z38" s="184">
        <v>208</v>
      </c>
      <c r="AA38" s="225">
        <v>37</v>
      </c>
      <c r="AB38" s="225">
        <v>121</v>
      </c>
      <c r="AC38" s="225">
        <v>35</v>
      </c>
      <c r="AD38" s="232">
        <v>213</v>
      </c>
      <c r="AE38" s="225">
        <v>25</v>
      </c>
      <c r="AF38" s="225">
        <v>127</v>
      </c>
      <c r="AG38" s="225">
        <v>49</v>
      </c>
      <c r="AH38" s="194"/>
    </row>
    <row r="39" spans="1:34" ht="30.6" customHeight="1" x14ac:dyDescent="0.45">
      <c r="A39" s="91" t="s">
        <v>12</v>
      </c>
      <c r="B39" s="209">
        <v>0.107</v>
      </c>
      <c r="C39" s="209">
        <v>0.67700000000000005</v>
      </c>
      <c r="D39" s="209">
        <v>0.187</v>
      </c>
      <c r="E39" s="217">
        <f t="shared" si="18"/>
        <v>0.12015503875968993</v>
      </c>
      <c r="F39" s="217">
        <f t="shared" si="19"/>
        <v>0.65503875968992253</v>
      </c>
      <c r="G39" s="217">
        <f t="shared" si="20"/>
        <v>0.18992248062015504</v>
      </c>
      <c r="H39" s="209">
        <v>0.12</v>
      </c>
      <c r="I39" s="209">
        <v>0.66300000000000003</v>
      </c>
      <c r="J39" s="209">
        <v>0.185</v>
      </c>
      <c r="K39" s="217">
        <f t="shared" si="21"/>
        <v>0.12186379928315412</v>
      </c>
      <c r="L39" s="217">
        <f t="shared" si="22"/>
        <v>0.68817204301075274</v>
      </c>
      <c r="M39" s="217">
        <f t="shared" si="23"/>
        <v>0.16487455197132617</v>
      </c>
      <c r="N39" s="210">
        <v>0.13200000000000001</v>
      </c>
      <c r="O39" s="210">
        <v>0.67</v>
      </c>
      <c r="P39" s="210">
        <v>0.16500000000000001</v>
      </c>
      <c r="Q39" s="217">
        <f t="shared" si="24"/>
        <v>0.17343173431734318</v>
      </c>
      <c r="R39" s="217">
        <f t="shared" si="25"/>
        <v>0.63468634686346859</v>
      </c>
      <c r="S39" s="217">
        <f t="shared" si="26"/>
        <v>0.14760147601476015</v>
      </c>
      <c r="T39" s="191"/>
      <c r="U39" s="91" t="s">
        <v>12</v>
      </c>
      <c r="V39" s="203">
        <v>258</v>
      </c>
      <c r="W39" s="204">
        <v>31</v>
      </c>
      <c r="X39" s="204">
        <v>169</v>
      </c>
      <c r="Y39" s="204">
        <v>49</v>
      </c>
      <c r="Z39" s="184">
        <v>279</v>
      </c>
      <c r="AA39" s="225">
        <v>34</v>
      </c>
      <c r="AB39" s="225">
        <v>192</v>
      </c>
      <c r="AC39" s="225">
        <v>46</v>
      </c>
      <c r="AD39" s="232">
        <v>271</v>
      </c>
      <c r="AE39" s="225">
        <v>47</v>
      </c>
      <c r="AF39" s="225">
        <v>172</v>
      </c>
      <c r="AG39" s="225">
        <v>40</v>
      </c>
      <c r="AH39" s="194"/>
    </row>
    <row r="40" spans="1:34" x14ac:dyDescent="0.45">
      <c r="Z40" s="120"/>
      <c r="AA40" s="120"/>
      <c r="AB40" s="120"/>
      <c r="AC40" s="120"/>
      <c r="AD40" s="120"/>
      <c r="AE40" s="120"/>
      <c r="AF40" s="120"/>
      <c r="AG40" s="120"/>
    </row>
    <row r="41" spans="1:34" x14ac:dyDescent="0.45">
      <c r="Z41" s="120"/>
      <c r="AA41" s="120"/>
      <c r="AB41" s="120"/>
      <c r="AC41" s="120"/>
      <c r="AD41" s="120"/>
      <c r="AE41" s="120"/>
      <c r="AF41" s="120"/>
      <c r="AG41" s="120"/>
    </row>
    <row r="42" spans="1:34" x14ac:dyDescent="0.45">
      <c r="Z42" s="120"/>
      <c r="AA42" s="120"/>
      <c r="AB42" s="120"/>
      <c r="AC42" s="120"/>
      <c r="AD42" s="120"/>
      <c r="AE42" s="120"/>
      <c r="AF42" s="120"/>
      <c r="AG42" s="120"/>
    </row>
    <row r="43" spans="1:34" x14ac:dyDescent="0.45">
      <c r="Z43" s="120"/>
      <c r="AA43" s="120"/>
      <c r="AB43" s="120"/>
      <c r="AC43" s="120"/>
    </row>
  </sheetData>
  <mergeCells count="49">
    <mergeCell ref="V1:AG1"/>
    <mergeCell ref="V16:Y16"/>
    <mergeCell ref="V17:Y17"/>
    <mergeCell ref="Z16:AC16"/>
    <mergeCell ref="Z17:AC17"/>
    <mergeCell ref="AD16:AG16"/>
    <mergeCell ref="AD17:AG17"/>
    <mergeCell ref="V3:Y3"/>
    <mergeCell ref="V4:Y4"/>
    <mergeCell ref="Z3:AC3"/>
    <mergeCell ref="Z4:AC4"/>
    <mergeCell ref="AD3:AG3"/>
    <mergeCell ref="AD4:AG4"/>
    <mergeCell ref="Q30:S30"/>
    <mergeCell ref="V30:Y30"/>
    <mergeCell ref="Z30:AC30"/>
    <mergeCell ref="AD30:AG30"/>
    <mergeCell ref="B29:G29"/>
    <mergeCell ref="H29:M29"/>
    <mergeCell ref="N29:S29"/>
    <mergeCell ref="B30:D30"/>
    <mergeCell ref="E30:G30"/>
    <mergeCell ref="H30:J30"/>
    <mergeCell ref="K30:M30"/>
    <mergeCell ref="N30:P30"/>
    <mergeCell ref="V29:Y29"/>
    <mergeCell ref="Z29:AC29"/>
    <mergeCell ref="AD29:AG29"/>
    <mergeCell ref="B28:S28"/>
    <mergeCell ref="B17:D17"/>
    <mergeCell ref="E17:G17"/>
    <mergeCell ref="H17:J17"/>
    <mergeCell ref="K17:M17"/>
    <mergeCell ref="N17:P17"/>
    <mergeCell ref="Q17:S17"/>
    <mergeCell ref="B3:G3"/>
    <mergeCell ref="H3:M3"/>
    <mergeCell ref="N3:S3"/>
    <mergeCell ref="B2:S2"/>
    <mergeCell ref="B16:G16"/>
    <mergeCell ref="H16:M16"/>
    <mergeCell ref="N16:S16"/>
    <mergeCell ref="B4:D4"/>
    <mergeCell ref="E4:G4"/>
    <mergeCell ref="H4:J4"/>
    <mergeCell ref="K4:M4"/>
    <mergeCell ref="N4:P4"/>
    <mergeCell ref="Q4:S4"/>
    <mergeCell ref="B15:S15"/>
  </mergeCells>
  <phoneticPr fontId="2"/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7E20-7CC7-4066-BF99-95306CBB03BB}">
  <sheetPr>
    <pageSetUpPr fitToPage="1"/>
  </sheetPr>
  <dimension ref="A1:AJ25"/>
  <sheetViews>
    <sheetView showGridLines="0" view="pageBreakPreview" zoomScale="70" zoomScaleNormal="85" zoomScaleSheetLayoutView="70" workbookViewId="0">
      <selection activeCell="G6" sqref="G6"/>
    </sheetView>
  </sheetViews>
  <sheetFormatPr defaultRowHeight="14.4" x14ac:dyDescent="0.45"/>
  <cols>
    <col min="1" max="1" width="8.796875" style="89"/>
    <col min="2" max="2" width="10.796875" style="89" bestFit="1" customWidth="1"/>
    <col min="3" max="3" width="8.796875" style="89"/>
    <col min="4" max="4" width="10.09765625" style="120" bestFit="1" customWidth="1"/>
    <col min="5" max="5" width="8.8984375" style="120" bestFit="1" customWidth="1"/>
    <col min="6" max="8" width="8.8984375" style="89" bestFit="1" customWidth="1"/>
    <col min="9" max="9" width="10.09765625" style="89" bestFit="1" customWidth="1"/>
    <col min="10" max="16" width="8.8984375" style="89" bestFit="1" customWidth="1"/>
    <col min="17" max="17" width="10.09765625" style="89" bestFit="1" customWidth="1"/>
    <col min="18" max="19" width="8.8984375" style="89" customWidth="1"/>
    <col min="20" max="35" width="8.796875" style="89" hidden="1" customWidth="1"/>
    <col min="36" max="36" width="0" style="89" hidden="1" customWidth="1"/>
    <col min="37" max="16384" width="8.796875" style="89"/>
  </cols>
  <sheetData>
    <row r="1" spans="1:36" ht="21" x14ac:dyDescent="0.45">
      <c r="A1" s="106" t="s">
        <v>218</v>
      </c>
    </row>
    <row r="2" spans="1:36" s="112" customFormat="1" ht="240" customHeight="1" x14ac:dyDescent="0.45">
      <c r="A2" s="314" t="s">
        <v>39</v>
      </c>
      <c r="B2" s="314"/>
      <c r="C2" s="163" t="s">
        <v>0</v>
      </c>
      <c r="D2" s="176" t="s">
        <v>40</v>
      </c>
      <c r="E2" s="176" t="s">
        <v>41</v>
      </c>
      <c r="F2" s="164" t="s">
        <v>42</v>
      </c>
      <c r="G2" s="164" t="s">
        <v>43</v>
      </c>
      <c r="H2" s="164" t="s">
        <v>44</v>
      </c>
      <c r="I2" s="164" t="s">
        <v>45</v>
      </c>
      <c r="J2" s="164" t="s">
        <v>46</v>
      </c>
      <c r="K2" s="164" t="s">
        <v>47</v>
      </c>
      <c r="L2" s="164" t="s">
        <v>48</v>
      </c>
      <c r="M2" s="164" t="s">
        <v>49</v>
      </c>
      <c r="N2" s="164" t="s">
        <v>50</v>
      </c>
      <c r="O2" s="164" t="s">
        <v>51</v>
      </c>
      <c r="P2" s="164" t="s">
        <v>52</v>
      </c>
      <c r="Q2" s="164" t="s">
        <v>38</v>
      </c>
      <c r="R2" s="164" t="s">
        <v>36</v>
      </c>
      <c r="S2" s="178"/>
      <c r="T2" s="163" t="s">
        <v>0</v>
      </c>
      <c r="U2" s="176" t="s">
        <v>40</v>
      </c>
      <c r="V2" s="176" t="s">
        <v>41</v>
      </c>
      <c r="W2" s="164" t="s">
        <v>42</v>
      </c>
      <c r="X2" s="164" t="s">
        <v>43</v>
      </c>
      <c r="Y2" s="164" t="s">
        <v>44</v>
      </c>
      <c r="Z2" s="164" t="s">
        <v>45</v>
      </c>
      <c r="AA2" s="164" t="s">
        <v>46</v>
      </c>
      <c r="AB2" s="164" t="s">
        <v>47</v>
      </c>
      <c r="AC2" s="164" t="s">
        <v>48</v>
      </c>
      <c r="AD2" s="164" t="s">
        <v>49</v>
      </c>
      <c r="AE2" s="164" t="s">
        <v>50</v>
      </c>
      <c r="AF2" s="164" t="s">
        <v>51</v>
      </c>
      <c r="AG2" s="164" t="s">
        <v>52</v>
      </c>
      <c r="AH2" s="164" t="s">
        <v>38</v>
      </c>
      <c r="AI2" s="164" t="s">
        <v>36</v>
      </c>
    </row>
    <row r="3" spans="1:36" ht="18" customHeight="1" x14ac:dyDescent="0.45">
      <c r="A3" s="313" t="s">
        <v>0</v>
      </c>
      <c r="B3" s="313"/>
      <c r="C3" s="113">
        <v>367</v>
      </c>
      <c r="D3" s="114">
        <f>U3/T3*100</f>
        <v>17.166212534059948</v>
      </c>
      <c r="E3" s="114">
        <f>V3/T3*100</f>
        <v>3.5422343324250685</v>
      </c>
      <c r="F3" s="114">
        <f>W3/T3*100</f>
        <v>2.9972752043596729</v>
      </c>
      <c r="G3" s="114">
        <f>X3/T3*100</f>
        <v>1.9073569482288828</v>
      </c>
      <c r="H3" s="114">
        <f>Y3/T3*100</f>
        <v>10.899182561307901</v>
      </c>
      <c r="I3" s="114">
        <f>Z3/T3*100</f>
        <v>17.711171662125341</v>
      </c>
      <c r="J3" s="114">
        <f>AA3/T3*100</f>
        <v>7.3569482288828345</v>
      </c>
      <c r="K3" s="114">
        <f>AB3/T3*100</f>
        <v>7.9019073569482288</v>
      </c>
      <c r="L3" s="114">
        <f>AC3/T3*100</f>
        <v>2.4523160762942782</v>
      </c>
      <c r="M3" s="114">
        <f>AD3/T3*100</f>
        <v>3.2697547683923704</v>
      </c>
      <c r="N3" s="114">
        <f>AE3/T3*100</f>
        <v>9.5367847411444142</v>
      </c>
      <c r="O3" s="114">
        <f>AF3/T3*100</f>
        <v>5.1771117166212539</v>
      </c>
      <c r="P3" s="114">
        <f>AG3/T3*100</f>
        <v>12.534059945504087</v>
      </c>
      <c r="Q3" s="114">
        <f>AH3/T3*100</f>
        <v>25.340599455040874</v>
      </c>
      <c r="R3" s="114">
        <f>AI3/T3*100</f>
        <v>1.3623978201634876</v>
      </c>
      <c r="S3" s="179"/>
      <c r="T3" s="113">
        <v>367</v>
      </c>
      <c r="U3" s="177">
        <v>63</v>
      </c>
      <c r="V3" s="91">
        <v>13</v>
      </c>
      <c r="W3" s="91">
        <v>11</v>
      </c>
      <c r="X3" s="91">
        <v>7</v>
      </c>
      <c r="Y3" s="91">
        <v>40</v>
      </c>
      <c r="Z3" s="91">
        <v>65</v>
      </c>
      <c r="AA3" s="91">
        <v>27</v>
      </c>
      <c r="AB3" s="91">
        <v>29</v>
      </c>
      <c r="AC3" s="91">
        <v>9</v>
      </c>
      <c r="AD3" s="91">
        <v>12</v>
      </c>
      <c r="AE3" s="91">
        <v>35</v>
      </c>
      <c r="AF3" s="91">
        <v>19</v>
      </c>
      <c r="AG3" s="91">
        <v>46</v>
      </c>
      <c r="AH3" s="91">
        <v>93</v>
      </c>
      <c r="AI3" s="91">
        <v>5</v>
      </c>
      <c r="AJ3" s="111"/>
    </row>
    <row r="4" spans="1:36" ht="18" customHeight="1" x14ac:dyDescent="0.45">
      <c r="A4" s="313" t="s">
        <v>20</v>
      </c>
      <c r="B4" s="115" t="s">
        <v>1</v>
      </c>
      <c r="C4" s="113">
        <v>175</v>
      </c>
      <c r="D4" s="114">
        <f t="shared" ref="D4:D19" si="0">U4/T4*100</f>
        <v>18.285714285714285</v>
      </c>
      <c r="E4" s="114">
        <f t="shared" ref="E4:E19" si="1">V4/T4*100</f>
        <v>2.8571428571428572</v>
      </c>
      <c r="F4" s="114">
        <f t="shared" ref="F4:F19" si="2">W4/T4*100</f>
        <v>4</v>
      </c>
      <c r="G4" s="114">
        <f t="shared" ref="G4:G19" si="3">X4/T4*100</f>
        <v>2.8571428571428572</v>
      </c>
      <c r="H4" s="114">
        <f t="shared" ref="H4:H19" si="4">Y4/T4*100</f>
        <v>14.857142857142858</v>
      </c>
      <c r="I4" s="114">
        <f t="shared" ref="I4:I19" si="5">Z4/T4*100</f>
        <v>21.714285714285715</v>
      </c>
      <c r="J4" s="114">
        <f t="shared" ref="J4:J19" si="6">AA4/T4*100</f>
        <v>8</v>
      </c>
      <c r="K4" s="114">
        <f t="shared" ref="K4:K19" si="7">AB4/T4*100</f>
        <v>9.1428571428571423</v>
      </c>
      <c r="L4" s="114">
        <f t="shared" ref="L4:L19" si="8">AC4/T4*100</f>
        <v>2.2857142857142856</v>
      </c>
      <c r="M4" s="114">
        <f t="shared" ref="M4:M19" si="9">AD4/T4*100</f>
        <v>5.1428571428571423</v>
      </c>
      <c r="N4" s="114">
        <f t="shared" ref="N4:N19" si="10">AE4/T4*100</f>
        <v>11.428571428571429</v>
      </c>
      <c r="O4" s="114">
        <f t="shared" ref="O4:O19" si="11">AF4/T4*100</f>
        <v>7.4285714285714288</v>
      </c>
      <c r="P4" s="114">
        <f t="shared" ref="P4:P19" si="12">AG4/T4*100</f>
        <v>9.1428571428571423</v>
      </c>
      <c r="Q4" s="114">
        <f t="shared" ref="Q4:Q19" si="13">AH4/T4*100</f>
        <v>20.571428571428569</v>
      </c>
      <c r="R4" s="114">
        <f t="shared" ref="R4:R19" si="14">AI4/T4*100</f>
        <v>2.2857142857142856</v>
      </c>
      <c r="S4" s="180"/>
      <c r="T4" s="113">
        <v>175</v>
      </c>
      <c r="U4" s="177">
        <v>32</v>
      </c>
      <c r="V4" s="91">
        <v>5</v>
      </c>
      <c r="W4" s="91">
        <v>7</v>
      </c>
      <c r="X4" s="91">
        <v>5</v>
      </c>
      <c r="Y4" s="91">
        <v>26</v>
      </c>
      <c r="Z4" s="91">
        <v>38</v>
      </c>
      <c r="AA4" s="91">
        <v>14</v>
      </c>
      <c r="AB4" s="91">
        <v>16</v>
      </c>
      <c r="AC4" s="91">
        <v>4</v>
      </c>
      <c r="AD4" s="91">
        <v>9</v>
      </c>
      <c r="AE4" s="91">
        <v>20</v>
      </c>
      <c r="AF4" s="91">
        <v>13</v>
      </c>
      <c r="AG4" s="91">
        <v>16</v>
      </c>
      <c r="AH4" s="91">
        <v>36</v>
      </c>
      <c r="AI4" s="91">
        <v>4</v>
      </c>
      <c r="AJ4" s="111"/>
    </row>
    <row r="5" spans="1:36" ht="18" customHeight="1" x14ac:dyDescent="0.45">
      <c r="A5" s="313"/>
      <c r="B5" s="115" t="s">
        <v>2</v>
      </c>
      <c r="C5" s="113">
        <v>189</v>
      </c>
      <c r="D5" s="114">
        <f t="shared" si="0"/>
        <v>16.402116402116402</v>
      </c>
      <c r="E5" s="114">
        <f t="shared" si="1"/>
        <v>4.2328042328042326</v>
      </c>
      <c r="F5" s="114">
        <f t="shared" si="2"/>
        <v>2.1164021164021163</v>
      </c>
      <c r="G5" s="114">
        <f t="shared" si="3"/>
        <v>1.0582010582010581</v>
      </c>
      <c r="H5" s="114">
        <f t="shared" si="4"/>
        <v>7.4074074074074066</v>
      </c>
      <c r="I5" s="114">
        <f t="shared" si="5"/>
        <v>14.285714285714285</v>
      </c>
      <c r="J5" s="114">
        <f t="shared" si="6"/>
        <v>6.8783068783068781</v>
      </c>
      <c r="K5" s="114">
        <f t="shared" si="7"/>
        <v>6.8783068783068781</v>
      </c>
      <c r="L5" s="114">
        <f t="shared" si="8"/>
        <v>2.6455026455026456</v>
      </c>
      <c r="M5" s="114">
        <f t="shared" si="9"/>
        <v>1.5873015873015872</v>
      </c>
      <c r="N5" s="114">
        <f t="shared" si="10"/>
        <v>7.9365079365079358</v>
      </c>
      <c r="O5" s="114">
        <f t="shared" si="11"/>
        <v>2.6455026455026456</v>
      </c>
      <c r="P5" s="114">
        <f t="shared" si="12"/>
        <v>15.343915343915343</v>
      </c>
      <c r="Q5" s="114">
        <f t="shared" si="13"/>
        <v>29.629629629629626</v>
      </c>
      <c r="R5" s="114">
        <f t="shared" si="14"/>
        <v>0.52910052910052907</v>
      </c>
      <c r="S5" s="180"/>
      <c r="T5" s="113">
        <v>189</v>
      </c>
      <c r="U5" s="177">
        <v>31</v>
      </c>
      <c r="V5" s="91">
        <v>8</v>
      </c>
      <c r="W5" s="91">
        <v>4</v>
      </c>
      <c r="X5" s="91">
        <v>2</v>
      </c>
      <c r="Y5" s="91">
        <v>14</v>
      </c>
      <c r="Z5" s="91">
        <v>27</v>
      </c>
      <c r="AA5" s="91">
        <v>13</v>
      </c>
      <c r="AB5" s="91">
        <v>13</v>
      </c>
      <c r="AC5" s="91">
        <v>5</v>
      </c>
      <c r="AD5" s="91">
        <v>3</v>
      </c>
      <c r="AE5" s="91">
        <v>15</v>
      </c>
      <c r="AF5" s="91">
        <v>5</v>
      </c>
      <c r="AG5" s="91">
        <v>29</v>
      </c>
      <c r="AH5" s="91">
        <v>56</v>
      </c>
      <c r="AI5" s="91">
        <v>1</v>
      </c>
      <c r="AJ5" s="111"/>
    </row>
    <row r="6" spans="1:36" ht="18" customHeight="1" x14ac:dyDescent="0.45">
      <c r="A6" s="313" t="s">
        <v>21</v>
      </c>
      <c r="B6" s="115" t="s">
        <v>22</v>
      </c>
      <c r="C6" s="113">
        <v>6</v>
      </c>
      <c r="D6" s="114">
        <f t="shared" si="0"/>
        <v>0</v>
      </c>
      <c r="E6" s="114">
        <f t="shared" si="1"/>
        <v>0</v>
      </c>
      <c r="F6" s="114">
        <f t="shared" si="2"/>
        <v>0</v>
      </c>
      <c r="G6" s="114">
        <f t="shared" si="3"/>
        <v>0</v>
      </c>
      <c r="H6" s="114">
        <f t="shared" si="4"/>
        <v>0</v>
      </c>
      <c r="I6" s="114">
        <f t="shared" si="5"/>
        <v>0</v>
      </c>
      <c r="J6" s="114">
        <f t="shared" si="6"/>
        <v>16.666666666666664</v>
      </c>
      <c r="K6" s="114">
        <f t="shared" si="7"/>
        <v>0</v>
      </c>
      <c r="L6" s="114">
        <f t="shared" si="8"/>
        <v>0</v>
      </c>
      <c r="M6" s="114">
        <f t="shared" si="9"/>
        <v>16.666666666666664</v>
      </c>
      <c r="N6" s="114">
        <f t="shared" si="10"/>
        <v>33.333333333333329</v>
      </c>
      <c r="O6" s="114">
        <f t="shared" si="11"/>
        <v>16.666666666666664</v>
      </c>
      <c r="P6" s="114">
        <f t="shared" si="12"/>
        <v>33.333333333333329</v>
      </c>
      <c r="Q6" s="114">
        <f t="shared" si="13"/>
        <v>16.666666666666664</v>
      </c>
      <c r="R6" s="114">
        <f t="shared" si="14"/>
        <v>0</v>
      </c>
      <c r="S6" s="180"/>
      <c r="T6" s="113">
        <v>6</v>
      </c>
      <c r="U6" s="177">
        <v>0</v>
      </c>
      <c r="V6" s="91">
        <v>0</v>
      </c>
      <c r="W6" s="91">
        <v>0</v>
      </c>
      <c r="X6" s="91">
        <v>0</v>
      </c>
      <c r="Y6" s="91">
        <v>0</v>
      </c>
      <c r="Z6" s="91">
        <v>0</v>
      </c>
      <c r="AA6" s="91">
        <v>1</v>
      </c>
      <c r="AB6" s="91">
        <v>0</v>
      </c>
      <c r="AC6" s="91">
        <v>0</v>
      </c>
      <c r="AD6" s="91">
        <v>1</v>
      </c>
      <c r="AE6" s="91">
        <v>2</v>
      </c>
      <c r="AF6" s="91">
        <v>1</v>
      </c>
      <c r="AG6" s="91">
        <v>2</v>
      </c>
      <c r="AH6" s="91">
        <v>1</v>
      </c>
      <c r="AI6" s="91">
        <v>0</v>
      </c>
      <c r="AJ6" s="111"/>
    </row>
    <row r="7" spans="1:36" ht="18" customHeight="1" x14ac:dyDescent="0.45">
      <c r="A7" s="313"/>
      <c r="B7" s="115" t="s">
        <v>23</v>
      </c>
      <c r="C7" s="166">
        <v>43</v>
      </c>
      <c r="D7" s="114">
        <f t="shared" si="0"/>
        <v>18.604651162790699</v>
      </c>
      <c r="E7" s="114">
        <f t="shared" si="1"/>
        <v>4.6511627906976747</v>
      </c>
      <c r="F7" s="114">
        <f t="shared" si="2"/>
        <v>4.6511627906976747</v>
      </c>
      <c r="G7" s="114">
        <f t="shared" si="3"/>
        <v>6.9767441860465116</v>
      </c>
      <c r="H7" s="114">
        <f t="shared" si="4"/>
        <v>6.9767441860465116</v>
      </c>
      <c r="I7" s="114">
        <f t="shared" si="5"/>
        <v>30.232558139534881</v>
      </c>
      <c r="J7" s="114">
        <f t="shared" si="6"/>
        <v>9.3023255813953494</v>
      </c>
      <c r="K7" s="114">
        <f t="shared" si="7"/>
        <v>13.953488372093023</v>
      </c>
      <c r="L7" s="114">
        <f t="shared" si="8"/>
        <v>2.3255813953488373</v>
      </c>
      <c r="M7" s="114">
        <f t="shared" si="9"/>
        <v>11.627906976744185</v>
      </c>
      <c r="N7" s="114">
        <f t="shared" si="10"/>
        <v>11.627906976744185</v>
      </c>
      <c r="O7" s="114">
        <f t="shared" si="11"/>
        <v>4.6511627906976747</v>
      </c>
      <c r="P7" s="114">
        <f t="shared" si="12"/>
        <v>9.3023255813953494</v>
      </c>
      <c r="Q7" s="114">
        <f t="shared" si="13"/>
        <v>18.604651162790699</v>
      </c>
      <c r="R7" s="114">
        <f t="shared" si="14"/>
        <v>2.3255813953488373</v>
      </c>
      <c r="S7" s="180"/>
      <c r="T7" s="166">
        <v>43</v>
      </c>
      <c r="U7" s="177">
        <v>8</v>
      </c>
      <c r="V7" s="91">
        <v>2</v>
      </c>
      <c r="W7" s="91">
        <v>2</v>
      </c>
      <c r="X7" s="91">
        <v>3</v>
      </c>
      <c r="Y7" s="91">
        <v>3</v>
      </c>
      <c r="Z7" s="91">
        <v>13</v>
      </c>
      <c r="AA7" s="91">
        <v>4</v>
      </c>
      <c r="AB7" s="91">
        <v>6</v>
      </c>
      <c r="AC7" s="91">
        <v>1</v>
      </c>
      <c r="AD7" s="91">
        <v>5</v>
      </c>
      <c r="AE7" s="91">
        <v>5</v>
      </c>
      <c r="AF7" s="91">
        <v>2</v>
      </c>
      <c r="AG7" s="91">
        <v>4</v>
      </c>
      <c r="AH7" s="91">
        <v>8</v>
      </c>
      <c r="AI7" s="91">
        <v>1</v>
      </c>
      <c r="AJ7" s="111"/>
    </row>
    <row r="8" spans="1:36" ht="18" customHeight="1" x14ac:dyDescent="0.45">
      <c r="A8" s="313"/>
      <c r="B8" s="115" t="s">
        <v>24</v>
      </c>
      <c r="C8" s="166">
        <v>30</v>
      </c>
      <c r="D8" s="114">
        <f t="shared" si="0"/>
        <v>23.333333333333332</v>
      </c>
      <c r="E8" s="114">
        <f t="shared" si="1"/>
        <v>0</v>
      </c>
      <c r="F8" s="114">
        <f t="shared" si="2"/>
        <v>10</v>
      </c>
      <c r="G8" s="114">
        <f t="shared" si="3"/>
        <v>3.3333333333333335</v>
      </c>
      <c r="H8" s="114">
        <f t="shared" si="4"/>
        <v>6.666666666666667</v>
      </c>
      <c r="I8" s="114">
        <f t="shared" si="5"/>
        <v>20</v>
      </c>
      <c r="J8" s="114">
        <f t="shared" si="6"/>
        <v>0</v>
      </c>
      <c r="K8" s="114">
        <f t="shared" si="7"/>
        <v>10</v>
      </c>
      <c r="L8" s="114">
        <f t="shared" si="8"/>
        <v>6.666666666666667</v>
      </c>
      <c r="M8" s="114">
        <f t="shared" si="9"/>
        <v>0</v>
      </c>
      <c r="N8" s="114">
        <f t="shared" si="10"/>
        <v>0</v>
      </c>
      <c r="O8" s="114">
        <f t="shared" si="11"/>
        <v>10</v>
      </c>
      <c r="P8" s="114">
        <f t="shared" si="12"/>
        <v>6.666666666666667</v>
      </c>
      <c r="Q8" s="114">
        <f t="shared" si="13"/>
        <v>23.333333333333332</v>
      </c>
      <c r="R8" s="114">
        <f t="shared" si="14"/>
        <v>0</v>
      </c>
      <c r="S8" s="180"/>
      <c r="T8" s="166">
        <v>30</v>
      </c>
      <c r="U8" s="177">
        <v>7</v>
      </c>
      <c r="V8" s="91">
        <v>0</v>
      </c>
      <c r="W8" s="91">
        <v>3</v>
      </c>
      <c r="X8" s="91">
        <v>1</v>
      </c>
      <c r="Y8" s="91">
        <v>2</v>
      </c>
      <c r="Z8" s="91">
        <v>6</v>
      </c>
      <c r="AA8" s="91">
        <v>0</v>
      </c>
      <c r="AB8" s="91">
        <v>3</v>
      </c>
      <c r="AC8" s="91">
        <v>2</v>
      </c>
      <c r="AD8" s="91">
        <v>0</v>
      </c>
      <c r="AE8" s="91">
        <v>0</v>
      </c>
      <c r="AF8" s="91">
        <v>3</v>
      </c>
      <c r="AG8" s="91">
        <v>2</v>
      </c>
      <c r="AH8" s="91">
        <v>7</v>
      </c>
      <c r="AI8" s="91">
        <v>0</v>
      </c>
      <c r="AJ8" s="111"/>
    </row>
    <row r="9" spans="1:36" ht="18" customHeight="1" x14ac:dyDescent="0.45">
      <c r="A9" s="313"/>
      <c r="B9" s="115" t="s">
        <v>25</v>
      </c>
      <c r="C9" s="166">
        <v>31</v>
      </c>
      <c r="D9" s="114">
        <f t="shared" si="0"/>
        <v>19.35483870967742</v>
      </c>
      <c r="E9" s="114">
        <f t="shared" si="1"/>
        <v>6.4516129032258061</v>
      </c>
      <c r="F9" s="114">
        <f t="shared" si="2"/>
        <v>6.4516129032258061</v>
      </c>
      <c r="G9" s="114">
        <f t="shared" si="3"/>
        <v>3.225806451612903</v>
      </c>
      <c r="H9" s="114">
        <f t="shared" si="4"/>
        <v>22.58064516129032</v>
      </c>
      <c r="I9" s="114">
        <f t="shared" si="5"/>
        <v>16.129032258064516</v>
      </c>
      <c r="J9" s="114">
        <f t="shared" si="6"/>
        <v>9.67741935483871</v>
      </c>
      <c r="K9" s="114">
        <f t="shared" si="7"/>
        <v>6.4516129032258061</v>
      </c>
      <c r="L9" s="114">
        <f t="shared" si="8"/>
        <v>3.225806451612903</v>
      </c>
      <c r="M9" s="114">
        <f t="shared" si="9"/>
        <v>6.4516129032258061</v>
      </c>
      <c r="N9" s="114">
        <f t="shared" si="10"/>
        <v>12.903225806451612</v>
      </c>
      <c r="O9" s="114">
        <f t="shared" si="11"/>
        <v>6.4516129032258061</v>
      </c>
      <c r="P9" s="114">
        <f t="shared" si="12"/>
        <v>3.225806451612903</v>
      </c>
      <c r="Q9" s="114">
        <f t="shared" si="13"/>
        <v>25.806451612903224</v>
      </c>
      <c r="R9" s="114">
        <f t="shared" si="14"/>
        <v>3.225806451612903</v>
      </c>
      <c r="S9" s="180"/>
      <c r="T9" s="166">
        <v>31</v>
      </c>
      <c r="U9" s="177">
        <v>6</v>
      </c>
      <c r="V9" s="91">
        <v>2</v>
      </c>
      <c r="W9" s="91">
        <v>2</v>
      </c>
      <c r="X9" s="91">
        <v>1</v>
      </c>
      <c r="Y9" s="91">
        <v>7</v>
      </c>
      <c r="Z9" s="91">
        <v>5</v>
      </c>
      <c r="AA9" s="91">
        <v>3</v>
      </c>
      <c r="AB9" s="91">
        <v>2</v>
      </c>
      <c r="AC9" s="91">
        <v>1</v>
      </c>
      <c r="AD9" s="91">
        <v>2</v>
      </c>
      <c r="AE9" s="91">
        <v>4</v>
      </c>
      <c r="AF9" s="91">
        <v>2</v>
      </c>
      <c r="AG9" s="91">
        <v>1</v>
      </c>
      <c r="AH9" s="91">
        <v>8</v>
      </c>
      <c r="AI9" s="91">
        <v>1</v>
      </c>
      <c r="AJ9" s="111"/>
    </row>
    <row r="10" spans="1:36" ht="18" customHeight="1" x14ac:dyDescent="0.45">
      <c r="A10" s="313"/>
      <c r="B10" s="115" t="s">
        <v>26</v>
      </c>
      <c r="C10" s="166">
        <v>30</v>
      </c>
      <c r="D10" s="114">
        <f t="shared" si="0"/>
        <v>13.333333333333334</v>
      </c>
      <c r="E10" s="114">
        <f t="shared" si="1"/>
        <v>3.3333333333333335</v>
      </c>
      <c r="F10" s="114">
        <f t="shared" si="2"/>
        <v>0</v>
      </c>
      <c r="G10" s="114">
        <f t="shared" si="3"/>
        <v>0</v>
      </c>
      <c r="H10" s="114">
        <f t="shared" si="4"/>
        <v>13.333333333333334</v>
      </c>
      <c r="I10" s="114">
        <f t="shared" si="5"/>
        <v>23.333333333333332</v>
      </c>
      <c r="J10" s="114">
        <f t="shared" si="6"/>
        <v>3.3333333333333335</v>
      </c>
      <c r="K10" s="114">
        <f t="shared" si="7"/>
        <v>6.666666666666667</v>
      </c>
      <c r="L10" s="114">
        <f t="shared" si="8"/>
        <v>0</v>
      </c>
      <c r="M10" s="114">
        <f t="shared" si="9"/>
        <v>3.3333333333333335</v>
      </c>
      <c r="N10" s="114">
        <f t="shared" si="10"/>
        <v>13.333333333333334</v>
      </c>
      <c r="O10" s="114">
        <f t="shared" si="11"/>
        <v>10</v>
      </c>
      <c r="P10" s="114">
        <f t="shared" si="12"/>
        <v>10</v>
      </c>
      <c r="Q10" s="114">
        <f t="shared" si="13"/>
        <v>26.666666666666668</v>
      </c>
      <c r="R10" s="114">
        <f t="shared" si="14"/>
        <v>3.3333333333333335</v>
      </c>
      <c r="S10" s="180"/>
      <c r="T10" s="166">
        <v>30</v>
      </c>
      <c r="U10" s="177">
        <v>4</v>
      </c>
      <c r="V10" s="91">
        <v>1</v>
      </c>
      <c r="W10" s="91">
        <v>0</v>
      </c>
      <c r="X10" s="91">
        <v>0</v>
      </c>
      <c r="Y10" s="91">
        <v>4</v>
      </c>
      <c r="Z10" s="91">
        <v>7</v>
      </c>
      <c r="AA10" s="91">
        <v>1</v>
      </c>
      <c r="AB10" s="91">
        <v>2</v>
      </c>
      <c r="AC10" s="91">
        <v>0</v>
      </c>
      <c r="AD10" s="91">
        <v>1</v>
      </c>
      <c r="AE10" s="91">
        <v>4</v>
      </c>
      <c r="AF10" s="91">
        <v>3</v>
      </c>
      <c r="AG10" s="91">
        <v>3</v>
      </c>
      <c r="AH10" s="91">
        <v>8</v>
      </c>
      <c r="AI10" s="91">
        <v>1</v>
      </c>
      <c r="AJ10" s="111"/>
    </row>
    <row r="11" spans="1:36" ht="18" customHeight="1" x14ac:dyDescent="0.45">
      <c r="A11" s="313"/>
      <c r="B11" s="115" t="s">
        <v>27</v>
      </c>
      <c r="C11" s="166">
        <v>16</v>
      </c>
      <c r="D11" s="114">
        <f t="shared" si="0"/>
        <v>37.5</v>
      </c>
      <c r="E11" s="114">
        <f t="shared" si="1"/>
        <v>0</v>
      </c>
      <c r="F11" s="114">
        <f t="shared" si="2"/>
        <v>0</v>
      </c>
      <c r="G11" s="114">
        <f t="shared" si="3"/>
        <v>0</v>
      </c>
      <c r="H11" s="114">
        <f t="shared" si="4"/>
        <v>31.25</v>
      </c>
      <c r="I11" s="114">
        <f t="shared" si="5"/>
        <v>12.5</v>
      </c>
      <c r="J11" s="114">
        <f t="shared" si="6"/>
        <v>18.75</v>
      </c>
      <c r="K11" s="114">
        <f t="shared" si="7"/>
        <v>6.25</v>
      </c>
      <c r="L11" s="114">
        <f t="shared" si="8"/>
        <v>0</v>
      </c>
      <c r="M11" s="114">
        <f t="shared" si="9"/>
        <v>0</v>
      </c>
      <c r="N11" s="114">
        <f t="shared" si="10"/>
        <v>18.75</v>
      </c>
      <c r="O11" s="114">
        <f t="shared" si="11"/>
        <v>12.5</v>
      </c>
      <c r="P11" s="114">
        <f t="shared" si="12"/>
        <v>6.25</v>
      </c>
      <c r="Q11" s="114">
        <f t="shared" si="13"/>
        <v>6.25</v>
      </c>
      <c r="R11" s="114">
        <f t="shared" si="14"/>
        <v>0</v>
      </c>
      <c r="S11" s="180"/>
      <c r="T11" s="166">
        <v>16</v>
      </c>
      <c r="U11" s="177">
        <v>6</v>
      </c>
      <c r="V11" s="91">
        <v>0</v>
      </c>
      <c r="W11" s="91">
        <v>0</v>
      </c>
      <c r="X11" s="91">
        <v>0</v>
      </c>
      <c r="Y11" s="91">
        <v>5</v>
      </c>
      <c r="Z11" s="91">
        <v>2</v>
      </c>
      <c r="AA11" s="91">
        <v>3</v>
      </c>
      <c r="AB11" s="91">
        <v>1</v>
      </c>
      <c r="AC11" s="91">
        <v>0</v>
      </c>
      <c r="AD11" s="91">
        <v>0</v>
      </c>
      <c r="AE11" s="91">
        <v>3</v>
      </c>
      <c r="AF11" s="91">
        <v>2</v>
      </c>
      <c r="AG11" s="91">
        <v>1</v>
      </c>
      <c r="AH11" s="91">
        <v>1</v>
      </c>
      <c r="AI11" s="91">
        <v>0</v>
      </c>
      <c r="AJ11" s="111"/>
    </row>
    <row r="12" spans="1:36" ht="18" customHeight="1" x14ac:dyDescent="0.45">
      <c r="A12" s="313"/>
      <c r="B12" s="115" t="s">
        <v>28</v>
      </c>
      <c r="C12" s="166">
        <v>19</v>
      </c>
      <c r="D12" s="114">
        <f t="shared" si="0"/>
        <v>5.2631578947368416</v>
      </c>
      <c r="E12" s="114">
        <f t="shared" si="1"/>
        <v>0</v>
      </c>
      <c r="F12" s="114">
        <f t="shared" si="2"/>
        <v>0</v>
      </c>
      <c r="G12" s="114">
        <f t="shared" si="3"/>
        <v>0</v>
      </c>
      <c r="H12" s="114">
        <f t="shared" si="4"/>
        <v>26.315789473684209</v>
      </c>
      <c r="I12" s="114">
        <f t="shared" si="5"/>
        <v>26.315789473684209</v>
      </c>
      <c r="J12" s="114">
        <f t="shared" si="6"/>
        <v>10.526315789473683</v>
      </c>
      <c r="K12" s="114">
        <f t="shared" si="7"/>
        <v>10.526315789473683</v>
      </c>
      <c r="L12" s="114">
        <f t="shared" si="8"/>
        <v>0</v>
      </c>
      <c r="M12" s="114">
        <f t="shared" si="9"/>
        <v>0</v>
      </c>
      <c r="N12" s="114">
        <f t="shared" si="10"/>
        <v>10.526315789473683</v>
      </c>
      <c r="O12" s="114">
        <f t="shared" si="11"/>
        <v>0</v>
      </c>
      <c r="P12" s="114">
        <f t="shared" si="12"/>
        <v>15.789473684210526</v>
      </c>
      <c r="Q12" s="114">
        <f t="shared" si="13"/>
        <v>15.789473684210526</v>
      </c>
      <c r="R12" s="114">
        <f t="shared" si="14"/>
        <v>5.2631578947368416</v>
      </c>
      <c r="S12" s="180"/>
      <c r="T12" s="166">
        <v>19</v>
      </c>
      <c r="U12" s="177">
        <v>1</v>
      </c>
      <c r="V12" s="91">
        <v>0</v>
      </c>
      <c r="W12" s="91">
        <v>0</v>
      </c>
      <c r="X12" s="91">
        <v>0</v>
      </c>
      <c r="Y12" s="91">
        <v>5</v>
      </c>
      <c r="Z12" s="91">
        <v>5</v>
      </c>
      <c r="AA12" s="91">
        <v>2</v>
      </c>
      <c r="AB12" s="91">
        <v>2</v>
      </c>
      <c r="AC12" s="91">
        <v>0</v>
      </c>
      <c r="AD12" s="91">
        <v>0</v>
      </c>
      <c r="AE12" s="91">
        <v>2</v>
      </c>
      <c r="AF12" s="91">
        <v>0</v>
      </c>
      <c r="AG12" s="91">
        <v>3</v>
      </c>
      <c r="AH12" s="91">
        <v>3</v>
      </c>
      <c r="AI12" s="91">
        <v>1</v>
      </c>
      <c r="AJ12" s="111"/>
    </row>
    <row r="13" spans="1:36" ht="18" customHeight="1" x14ac:dyDescent="0.45">
      <c r="A13" s="313"/>
      <c r="B13" s="115" t="s">
        <v>29</v>
      </c>
      <c r="C13" s="113">
        <v>6</v>
      </c>
      <c r="D13" s="114">
        <f t="shared" si="0"/>
        <v>16.666666666666664</v>
      </c>
      <c r="E13" s="114">
        <f t="shared" si="1"/>
        <v>0</v>
      </c>
      <c r="F13" s="114">
        <f t="shared" si="2"/>
        <v>0</v>
      </c>
      <c r="G13" s="114">
        <f t="shared" si="3"/>
        <v>0</v>
      </c>
      <c r="H13" s="114">
        <f t="shared" si="4"/>
        <v>0</v>
      </c>
      <c r="I13" s="114">
        <f t="shared" si="5"/>
        <v>0</v>
      </c>
      <c r="J13" s="114">
        <f t="shared" si="6"/>
        <v>0</v>
      </c>
      <c r="K13" s="114">
        <f t="shared" si="7"/>
        <v>0</v>
      </c>
      <c r="L13" s="114">
        <f t="shared" si="8"/>
        <v>33.333333333333329</v>
      </c>
      <c r="M13" s="114">
        <f t="shared" si="9"/>
        <v>16.666666666666664</v>
      </c>
      <c r="N13" s="114">
        <f t="shared" si="10"/>
        <v>0</v>
      </c>
      <c r="O13" s="114">
        <f t="shared" si="11"/>
        <v>0</v>
      </c>
      <c r="P13" s="114">
        <f t="shared" si="12"/>
        <v>0</v>
      </c>
      <c r="Q13" s="114">
        <f t="shared" si="13"/>
        <v>33.333333333333329</v>
      </c>
      <c r="R13" s="114">
        <f t="shared" si="14"/>
        <v>0</v>
      </c>
      <c r="S13" s="180"/>
      <c r="T13" s="113">
        <v>6</v>
      </c>
      <c r="U13" s="177">
        <v>1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2</v>
      </c>
      <c r="AD13" s="91">
        <v>1</v>
      </c>
      <c r="AE13" s="91">
        <v>0</v>
      </c>
      <c r="AF13" s="91">
        <v>0</v>
      </c>
      <c r="AG13" s="91">
        <v>0</v>
      </c>
      <c r="AH13" s="91">
        <v>2</v>
      </c>
      <c r="AI13" s="91">
        <v>0</v>
      </c>
      <c r="AJ13" s="111"/>
    </row>
    <row r="14" spans="1:36" ht="18" customHeight="1" x14ac:dyDescent="0.45">
      <c r="A14" s="313"/>
      <c r="B14" s="115" t="s">
        <v>30</v>
      </c>
      <c r="C14" s="166">
        <v>27</v>
      </c>
      <c r="D14" s="114">
        <f t="shared" si="0"/>
        <v>18.518518518518519</v>
      </c>
      <c r="E14" s="114">
        <f t="shared" si="1"/>
        <v>0</v>
      </c>
      <c r="F14" s="114">
        <f t="shared" si="2"/>
        <v>0</v>
      </c>
      <c r="G14" s="114">
        <f t="shared" si="3"/>
        <v>0</v>
      </c>
      <c r="H14" s="114">
        <f t="shared" si="4"/>
        <v>0</v>
      </c>
      <c r="I14" s="114">
        <f t="shared" si="5"/>
        <v>14.814814814814813</v>
      </c>
      <c r="J14" s="114">
        <f t="shared" si="6"/>
        <v>3.7037037037037033</v>
      </c>
      <c r="K14" s="114">
        <f t="shared" si="7"/>
        <v>7.4074074074074066</v>
      </c>
      <c r="L14" s="114">
        <f t="shared" si="8"/>
        <v>0</v>
      </c>
      <c r="M14" s="114">
        <f t="shared" si="9"/>
        <v>0</v>
      </c>
      <c r="N14" s="114">
        <f t="shared" si="10"/>
        <v>11.111111111111111</v>
      </c>
      <c r="O14" s="114">
        <f t="shared" si="11"/>
        <v>7.4074074074074066</v>
      </c>
      <c r="P14" s="114">
        <f t="shared" si="12"/>
        <v>14.814814814814813</v>
      </c>
      <c r="Q14" s="114">
        <f t="shared" si="13"/>
        <v>29.629629629629626</v>
      </c>
      <c r="R14" s="114">
        <f t="shared" si="14"/>
        <v>3.7037037037037033</v>
      </c>
      <c r="S14" s="180"/>
      <c r="T14" s="166">
        <v>27</v>
      </c>
      <c r="U14" s="177">
        <v>5</v>
      </c>
      <c r="V14" s="91">
        <v>0</v>
      </c>
      <c r="W14" s="91">
        <v>0</v>
      </c>
      <c r="X14" s="91">
        <v>0</v>
      </c>
      <c r="Y14" s="91">
        <v>0</v>
      </c>
      <c r="Z14" s="91">
        <v>4</v>
      </c>
      <c r="AA14" s="91">
        <v>1</v>
      </c>
      <c r="AB14" s="91">
        <v>2</v>
      </c>
      <c r="AC14" s="91">
        <v>0</v>
      </c>
      <c r="AD14" s="91">
        <v>0</v>
      </c>
      <c r="AE14" s="91">
        <v>3</v>
      </c>
      <c r="AF14" s="91">
        <v>2</v>
      </c>
      <c r="AG14" s="91">
        <v>4</v>
      </c>
      <c r="AH14" s="91">
        <v>8</v>
      </c>
      <c r="AI14" s="91">
        <v>1</v>
      </c>
      <c r="AJ14" s="111"/>
    </row>
    <row r="15" spans="1:36" ht="18" customHeight="1" x14ac:dyDescent="0.45">
      <c r="A15" s="313"/>
      <c r="B15" s="115" t="s">
        <v>31</v>
      </c>
      <c r="C15" s="166">
        <v>34</v>
      </c>
      <c r="D15" s="114">
        <f t="shared" si="0"/>
        <v>23.52941176470588</v>
      </c>
      <c r="E15" s="114">
        <f t="shared" si="1"/>
        <v>0</v>
      </c>
      <c r="F15" s="114">
        <f t="shared" si="2"/>
        <v>2.9411764705882351</v>
      </c>
      <c r="G15" s="114">
        <f t="shared" si="3"/>
        <v>0</v>
      </c>
      <c r="H15" s="114">
        <f t="shared" si="4"/>
        <v>2.9411764705882351</v>
      </c>
      <c r="I15" s="114">
        <f t="shared" si="5"/>
        <v>11.76470588235294</v>
      </c>
      <c r="J15" s="114">
        <f t="shared" si="6"/>
        <v>5.8823529411764701</v>
      </c>
      <c r="K15" s="114">
        <f t="shared" si="7"/>
        <v>8.8235294117647065</v>
      </c>
      <c r="L15" s="114">
        <f t="shared" si="8"/>
        <v>0</v>
      </c>
      <c r="M15" s="114">
        <f t="shared" si="9"/>
        <v>2.9411764705882351</v>
      </c>
      <c r="N15" s="114">
        <f t="shared" si="10"/>
        <v>8.8235294117647065</v>
      </c>
      <c r="O15" s="114">
        <f t="shared" si="11"/>
        <v>5.8823529411764701</v>
      </c>
      <c r="P15" s="114">
        <f t="shared" si="12"/>
        <v>20.588235294117645</v>
      </c>
      <c r="Q15" s="114">
        <f t="shared" si="13"/>
        <v>17.647058823529413</v>
      </c>
      <c r="R15" s="114">
        <f t="shared" si="14"/>
        <v>0</v>
      </c>
      <c r="S15" s="180"/>
      <c r="T15" s="166">
        <v>34</v>
      </c>
      <c r="U15" s="177">
        <v>8</v>
      </c>
      <c r="V15" s="91">
        <v>0</v>
      </c>
      <c r="W15" s="91">
        <v>1</v>
      </c>
      <c r="X15" s="91">
        <v>0</v>
      </c>
      <c r="Y15" s="91">
        <v>1</v>
      </c>
      <c r="Z15" s="91">
        <v>4</v>
      </c>
      <c r="AA15" s="91">
        <v>2</v>
      </c>
      <c r="AB15" s="91">
        <v>3</v>
      </c>
      <c r="AC15" s="91">
        <v>0</v>
      </c>
      <c r="AD15" s="91">
        <v>1</v>
      </c>
      <c r="AE15" s="91">
        <v>3</v>
      </c>
      <c r="AF15" s="91">
        <v>2</v>
      </c>
      <c r="AG15" s="91">
        <v>7</v>
      </c>
      <c r="AH15" s="91">
        <v>6</v>
      </c>
      <c r="AI15" s="91">
        <v>0</v>
      </c>
      <c r="AJ15" s="111"/>
    </row>
    <row r="16" spans="1:36" ht="18" customHeight="1" x14ac:dyDescent="0.45">
      <c r="A16" s="313"/>
      <c r="B16" s="115" t="s">
        <v>32</v>
      </c>
      <c r="C16" s="166">
        <v>27</v>
      </c>
      <c r="D16" s="114">
        <f t="shared" si="0"/>
        <v>14.814814814814813</v>
      </c>
      <c r="E16" s="114">
        <f t="shared" si="1"/>
        <v>11.111111111111111</v>
      </c>
      <c r="F16" s="114">
        <f t="shared" si="2"/>
        <v>3.7037037037037033</v>
      </c>
      <c r="G16" s="114">
        <f t="shared" si="3"/>
        <v>0</v>
      </c>
      <c r="H16" s="114">
        <f t="shared" si="4"/>
        <v>11.111111111111111</v>
      </c>
      <c r="I16" s="114">
        <f t="shared" si="5"/>
        <v>25.925925925925924</v>
      </c>
      <c r="J16" s="114">
        <f t="shared" si="6"/>
        <v>7.4074074074074066</v>
      </c>
      <c r="K16" s="114">
        <f t="shared" si="7"/>
        <v>3.7037037037037033</v>
      </c>
      <c r="L16" s="114">
        <f t="shared" si="8"/>
        <v>0</v>
      </c>
      <c r="M16" s="114">
        <f t="shared" si="9"/>
        <v>3.7037037037037033</v>
      </c>
      <c r="N16" s="114">
        <f t="shared" si="10"/>
        <v>3.7037037037037033</v>
      </c>
      <c r="O16" s="114">
        <f t="shared" si="11"/>
        <v>0</v>
      </c>
      <c r="P16" s="114">
        <f t="shared" si="12"/>
        <v>14.814814814814813</v>
      </c>
      <c r="Q16" s="114">
        <f t="shared" si="13"/>
        <v>25.925925925925924</v>
      </c>
      <c r="R16" s="114">
        <f t="shared" si="14"/>
        <v>0</v>
      </c>
      <c r="S16" s="180"/>
      <c r="T16" s="166">
        <v>27</v>
      </c>
      <c r="U16" s="177">
        <v>4</v>
      </c>
      <c r="V16" s="91">
        <v>3</v>
      </c>
      <c r="W16" s="91">
        <v>1</v>
      </c>
      <c r="X16" s="91">
        <v>0</v>
      </c>
      <c r="Y16" s="91">
        <v>3</v>
      </c>
      <c r="Z16" s="91">
        <v>7</v>
      </c>
      <c r="AA16" s="91">
        <v>2</v>
      </c>
      <c r="AB16" s="91">
        <v>1</v>
      </c>
      <c r="AC16" s="91">
        <v>0</v>
      </c>
      <c r="AD16" s="91">
        <v>1</v>
      </c>
      <c r="AE16" s="91">
        <v>1</v>
      </c>
      <c r="AF16" s="91">
        <v>0</v>
      </c>
      <c r="AG16" s="91">
        <v>4</v>
      </c>
      <c r="AH16" s="91">
        <v>7</v>
      </c>
      <c r="AI16" s="91">
        <v>0</v>
      </c>
      <c r="AJ16" s="111"/>
    </row>
    <row r="17" spans="1:36" ht="18" customHeight="1" x14ac:dyDescent="0.45">
      <c r="A17" s="313"/>
      <c r="B17" s="115" t="s">
        <v>33</v>
      </c>
      <c r="C17" s="166">
        <v>39</v>
      </c>
      <c r="D17" s="114">
        <f t="shared" si="0"/>
        <v>15.384615384615385</v>
      </c>
      <c r="E17" s="114">
        <f t="shared" si="1"/>
        <v>2.5641025641025639</v>
      </c>
      <c r="F17" s="114">
        <f t="shared" si="2"/>
        <v>2.5641025641025639</v>
      </c>
      <c r="G17" s="114">
        <f t="shared" si="3"/>
        <v>2.5641025641025639</v>
      </c>
      <c r="H17" s="114">
        <f t="shared" si="4"/>
        <v>7.6923076923076925</v>
      </c>
      <c r="I17" s="114">
        <f t="shared" si="5"/>
        <v>12.820512820512819</v>
      </c>
      <c r="J17" s="114">
        <f t="shared" si="6"/>
        <v>5.1282051282051277</v>
      </c>
      <c r="K17" s="114">
        <f t="shared" si="7"/>
        <v>7.6923076923076925</v>
      </c>
      <c r="L17" s="114">
        <f t="shared" si="8"/>
        <v>2.5641025641025639</v>
      </c>
      <c r="M17" s="114">
        <f t="shared" si="9"/>
        <v>0</v>
      </c>
      <c r="N17" s="114">
        <f t="shared" si="10"/>
        <v>7.6923076923076925</v>
      </c>
      <c r="O17" s="114">
        <f t="shared" si="11"/>
        <v>2.5641025641025639</v>
      </c>
      <c r="P17" s="114">
        <f t="shared" si="12"/>
        <v>20.512820512820511</v>
      </c>
      <c r="Q17" s="114">
        <f t="shared" si="13"/>
        <v>30.76923076923077</v>
      </c>
      <c r="R17" s="114">
        <f t="shared" si="14"/>
        <v>0</v>
      </c>
      <c r="S17" s="180"/>
      <c r="T17" s="166">
        <v>39</v>
      </c>
      <c r="U17" s="177">
        <v>6</v>
      </c>
      <c r="V17" s="91">
        <v>1</v>
      </c>
      <c r="W17" s="91">
        <v>1</v>
      </c>
      <c r="X17" s="91">
        <v>1</v>
      </c>
      <c r="Y17" s="91">
        <v>3</v>
      </c>
      <c r="Z17" s="91">
        <v>5</v>
      </c>
      <c r="AA17" s="91">
        <v>2</v>
      </c>
      <c r="AB17" s="91">
        <v>3</v>
      </c>
      <c r="AC17" s="91">
        <v>1</v>
      </c>
      <c r="AD17" s="91">
        <v>0</v>
      </c>
      <c r="AE17" s="91">
        <v>3</v>
      </c>
      <c r="AF17" s="91">
        <v>1</v>
      </c>
      <c r="AG17" s="91">
        <v>8</v>
      </c>
      <c r="AH17" s="91">
        <v>12</v>
      </c>
      <c r="AI17" s="91">
        <v>0</v>
      </c>
      <c r="AJ17" s="111"/>
    </row>
    <row r="18" spans="1:36" ht="18" customHeight="1" x14ac:dyDescent="0.45">
      <c r="A18" s="313"/>
      <c r="B18" s="115" t="s">
        <v>34</v>
      </c>
      <c r="C18" s="166">
        <v>25</v>
      </c>
      <c r="D18" s="114">
        <f t="shared" si="0"/>
        <v>8</v>
      </c>
      <c r="E18" s="114">
        <f t="shared" si="1"/>
        <v>8</v>
      </c>
      <c r="F18" s="114">
        <f t="shared" si="2"/>
        <v>0</v>
      </c>
      <c r="G18" s="114">
        <f t="shared" si="3"/>
        <v>4</v>
      </c>
      <c r="H18" s="114">
        <f t="shared" si="4"/>
        <v>12</v>
      </c>
      <c r="I18" s="114">
        <f t="shared" si="5"/>
        <v>8</v>
      </c>
      <c r="J18" s="114">
        <f t="shared" si="6"/>
        <v>8</v>
      </c>
      <c r="K18" s="114">
        <f t="shared" si="7"/>
        <v>8</v>
      </c>
      <c r="L18" s="114">
        <f t="shared" si="8"/>
        <v>0</v>
      </c>
      <c r="M18" s="114">
        <f t="shared" si="9"/>
        <v>0</v>
      </c>
      <c r="N18" s="114">
        <f t="shared" si="10"/>
        <v>4</v>
      </c>
      <c r="O18" s="114">
        <f t="shared" si="11"/>
        <v>0</v>
      </c>
      <c r="P18" s="114">
        <f t="shared" si="12"/>
        <v>12</v>
      </c>
      <c r="Q18" s="114">
        <f>AH18/T18*100</f>
        <v>44</v>
      </c>
      <c r="R18" s="114">
        <f t="shared" si="14"/>
        <v>0</v>
      </c>
      <c r="S18" s="180"/>
      <c r="T18" s="166">
        <v>25</v>
      </c>
      <c r="U18" s="177">
        <v>2</v>
      </c>
      <c r="V18" s="91">
        <v>2</v>
      </c>
      <c r="W18" s="91">
        <v>0</v>
      </c>
      <c r="X18" s="91">
        <v>1</v>
      </c>
      <c r="Y18" s="91">
        <v>3</v>
      </c>
      <c r="Z18" s="91">
        <v>2</v>
      </c>
      <c r="AA18" s="91">
        <v>2</v>
      </c>
      <c r="AB18" s="91">
        <v>2</v>
      </c>
      <c r="AC18" s="91">
        <v>0</v>
      </c>
      <c r="AD18" s="91">
        <v>0</v>
      </c>
      <c r="AE18" s="91">
        <v>1</v>
      </c>
      <c r="AF18" s="91">
        <v>0</v>
      </c>
      <c r="AG18" s="91">
        <v>3</v>
      </c>
      <c r="AH18" s="91">
        <v>11</v>
      </c>
      <c r="AI18" s="91">
        <v>0</v>
      </c>
      <c r="AJ18" s="111"/>
    </row>
    <row r="19" spans="1:36" ht="18" customHeight="1" x14ac:dyDescent="0.45">
      <c r="A19" s="313"/>
      <c r="B19" s="115" t="s">
        <v>35</v>
      </c>
      <c r="C19" s="166">
        <v>31</v>
      </c>
      <c r="D19" s="114">
        <f t="shared" si="0"/>
        <v>16.129032258064516</v>
      </c>
      <c r="E19" s="114">
        <f t="shared" si="1"/>
        <v>6.4516129032258061</v>
      </c>
      <c r="F19" s="114">
        <f t="shared" si="2"/>
        <v>3.225806451612903</v>
      </c>
      <c r="G19" s="114">
        <f t="shared" si="3"/>
        <v>0</v>
      </c>
      <c r="H19" s="114">
        <f t="shared" si="4"/>
        <v>12.903225806451612</v>
      </c>
      <c r="I19" s="114">
        <f t="shared" si="5"/>
        <v>16.129032258064516</v>
      </c>
      <c r="J19" s="114">
        <f t="shared" si="6"/>
        <v>12.903225806451612</v>
      </c>
      <c r="K19" s="114">
        <f t="shared" si="7"/>
        <v>6.4516129032258061</v>
      </c>
      <c r="L19" s="114">
        <f t="shared" si="8"/>
        <v>6.4516129032258061</v>
      </c>
      <c r="M19" s="114">
        <f t="shared" si="9"/>
        <v>0</v>
      </c>
      <c r="N19" s="114">
        <f t="shared" si="10"/>
        <v>12.903225806451612</v>
      </c>
      <c r="O19" s="114">
        <f t="shared" si="11"/>
        <v>0</v>
      </c>
      <c r="P19" s="114">
        <f t="shared" si="12"/>
        <v>9.67741935483871</v>
      </c>
      <c r="Q19" s="114">
        <f t="shared" si="13"/>
        <v>32.258064516129032</v>
      </c>
      <c r="R19" s="114">
        <f t="shared" si="14"/>
        <v>0</v>
      </c>
      <c r="S19" s="180"/>
      <c r="T19" s="166">
        <v>31</v>
      </c>
      <c r="U19" s="177">
        <v>5</v>
      </c>
      <c r="V19" s="91">
        <v>2</v>
      </c>
      <c r="W19" s="91">
        <v>1</v>
      </c>
      <c r="X19" s="91">
        <v>0</v>
      </c>
      <c r="Y19" s="91">
        <v>4</v>
      </c>
      <c r="Z19" s="91">
        <v>5</v>
      </c>
      <c r="AA19" s="91">
        <v>4</v>
      </c>
      <c r="AB19" s="91">
        <v>2</v>
      </c>
      <c r="AC19" s="91">
        <v>2</v>
      </c>
      <c r="AD19" s="91">
        <v>0</v>
      </c>
      <c r="AE19" s="91">
        <v>4</v>
      </c>
      <c r="AF19" s="91">
        <v>0</v>
      </c>
      <c r="AG19" s="91">
        <v>3</v>
      </c>
      <c r="AH19" s="91">
        <v>10</v>
      </c>
      <c r="AI19" s="91">
        <v>0</v>
      </c>
      <c r="AJ19" s="111"/>
    </row>
    <row r="20" spans="1:36" x14ac:dyDescent="0.45">
      <c r="AJ20" s="111"/>
    </row>
    <row r="21" spans="1:36" x14ac:dyDescent="0.45">
      <c r="AJ21" s="111"/>
    </row>
    <row r="22" spans="1:36" x14ac:dyDescent="0.45">
      <c r="AJ22" s="111"/>
    </row>
    <row r="23" spans="1:36" x14ac:dyDescent="0.45">
      <c r="AJ23" s="111"/>
    </row>
    <row r="24" spans="1:36" x14ac:dyDescent="0.45">
      <c r="AJ24" s="111"/>
    </row>
    <row r="25" spans="1:36" x14ac:dyDescent="0.45">
      <c r="AJ25" s="111"/>
    </row>
  </sheetData>
  <mergeCells count="4">
    <mergeCell ref="A6:A19"/>
    <mergeCell ref="A4:A5"/>
    <mergeCell ref="A3:B3"/>
    <mergeCell ref="A2:B2"/>
  </mergeCells>
  <phoneticPr fontId="2"/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E45C-64AC-4BD0-BC44-F7E72E39EC25}">
  <dimension ref="A1:N20"/>
  <sheetViews>
    <sheetView showGridLines="0" view="pageBreakPreview" zoomScaleNormal="85" zoomScaleSheetLayoutView="100" workbookViewId="0">
      <selection activeCell="I1" sqref="I1:L1048576"/>
    </sheetView>
  </sheetViews>
  <sheetFormatPr defaultRowHeight="14.4" x14ac:dyDescent="0.45"/>
  <cols>
    <col min="1" max="1" width="39.796875" style="89" bestFit="1" customWidth="1"/>
    <col min="2" max="7" width="8.796875" style="89"/>
    <col min="8" max="8" width="8.796875" style="89" customWidth="1"/>
    <col min="9" max="9" width="36" style="89" hidden="1" customWidth="1"/>
    <col min="10" max="12" width="8.796875" style="89" hidden="1" customWidth="1"/>
    <col min="13" max="16384" width="8.796875" style="89"/>
  </cols>
  <sheetData>
    <row r="1" spans="1:14" ht="31.2" customHeight="1" x14ac:dyDescent="0.45">
      <c r="A1" s="106" t="s">
        <v>219</v>
      </c>
    </row>
    <row r="2" spans="1:14" ht="18" customHeight="1" x14ac:dyDescent="0.45">
      <c r="A2" s="111"/>
      <c r="B2" s="315" t="s">
        <v>39</v>
      </c>
      <c r="C2" s="315"/>
      <c r="D2" s="315"/>
      <c r="E2" s="316" t="s">
        <v>3</v>
      </c>
      <c r="F2" s="316"/>
      <c r="G2" s="316"/>
      <c r="I2" s="111"/>
      <c r="J2" s="278" t="s">
        <v>39</v>
      </c>
      <c r="K2" s="278"/>
      <c r="L2" s="278"/>
    </row>
    <row r="3" spans="1:14" ht="18" customHeight="1" x14ac:dyDescent="0.45">
      <c r="A3" s="111"/>
      <c r="B3" s="169" t="s">
        <v>0</v>
      </c>
      <c r="C3" s="169" t="s">
        <v>1</v>
      </c>
      <c r="D3" s="169" t="s">
        <v>2</v>
      </c>
      <c r="E3" s="170" t="s">
        <v>0</v>
      </c>
      <c r="F3" s="170" t="s">
        <v>1</v>
      </c>
      <c r="G3" s="170" t="s">
        <v>2</v>
      </c>
      <c r="I3" s="111"/>
      <c r="J3" s="168" t="s">
        <v>0</v>
      </c>
      <c r="K3" s="168" t="s">
        <v>1</v>
      </c>
      <c r="L3" s="168" t="s">
        <v>2</v>
      </c>
    </row>
    <row r="4" spans="1:14" ht="18" customHeight="1" x14ac:dyDescent="0.45">
      <c r="A4" s="111"/>
      <c r="B4" s="182">
        <v>2139</v>
      </c>
      <c r="C4" s="182">
        <v>1043</v>
      </c>
      <c r="D4" s="182">
        <v>1080</v>
      </c>
      <c r="E4" s="184">
        <v>30803</v>
      </c>
      <c r="F4" s="184">
        <v>15250</v>
      </c>
      <c r="G4" s="184">
        <v>15334</v>
      </c>
      <c r="I4" s="181"/>
      <c r="J4" s="182">
        <v>2139</v>
      </c>
      <c r="K4" s="182">
        <v>1043</v>
      </c>
      <c r="L4" s="182">
        <v>1080</v>
      </c>
      <c r="M4" s="120"/>
      <c r="N4" s="120"/>
    </row>
    <row r="5" spans="1:14" ht="18" customHeight="1" x14ac:dyDescent="0.45">
      <c r="A5" s="91" t="s">
        <v>53</v>
      </c>
      <c r="B5" s="183">
        <f>J5/J4*100</f>
        <v>25.946704067321178</v>
      </c>
      <c r="C5" s="183">
        <f>K5/K4*100</f>
        <v>30.488974113135185</v>
      </c>
      <c r="D5" s="183">
        <f t="shared" ref="D5" si="0">L5/L4*100</f>
        <v>21.574074074074073</v>
      </c>
      <c r="E5" s="185">
        <v>26.5</v>
      </c>
      <c r="F5" s="185">
        <v>30.9</v>
      </c>
      <c r="G5" s="185">
        <v>22</v>
      </c>
      <c r="I5" s="124" t="s">
        <v>53</v>
      </c>
      <c r="J5" s="183">
        <v>555</v>
      </c>
      <c r="K5" s="183">
        <v>318</v>
      </c>
      <c r="L5" s="183">
        <v>233</v>
      </c>
      <c r="M5" s="120"/>
      <c r="N5" s="120"/>
    </row>
    <row r="6" spans="1:14" ht="18" customHeight="1" x14ac:dyDescent="0.45">
      <c r="A6" s="91" t="s">
        <v>54</v>
      </c>
      <c r="B6" s="183">
        <f>J6/J4*100</f>
        <v>22.720897615708274</v>
      </c>
      <c r="C6" s="183">
        <f t="shared" ref="C6:D6" si="1">K6/K4*100</f>
        <v>19.175455417066157</v>
      </c>
      <c r="D6" s="183">
        <f t="shared" si="1"/>
        <v>26.111111111111114</v>
      </c>
      <c r="E6" s="185">
        <v>22.8</v>
      </c>
      <c r="F6" s="185">
        <v>19.7</v>
      </c>
      <c r="G6" s="185">
        <v>26</v>
      </c>
      <c r="I6" s="124" t="s">
        <v>54</v>
      </c>
      <c r="J6" s="183">
        <v>486</v>
      </c>
      <c r="K6" s="183">
        <v>200</v>
      </c>
      <c r="L6" s="183">
        <v>282</v>
      </c>
      <c r="M6" s="120"/>
      <c r="N6" s="120"/>
    </row>
    <row r="7" spans="1:14" ht="18" customHeight="1" x14ac:dyDescent="0.45">
      <c r="A7" s="91" t="s">
        <v>55</v>
      </c>
      <c r="B7" s="183">
        <f>J7/J4*100</f>
        <v>14.586255259467041</v>
      </c>
      <c r="C7" s="183">
        <f>K7/K4*100</f>
        <v>14.189837008628956</v>
      </c>
      <c r="D7" s="183">
        <f t="shared" ref="D7" si="2">L7/L4*100</f>
        <v>15</v>
      </c>
      <c r="E7" s="185">
        <v>15.2</v>
      </c>
      <c r="F7" s="185">
        <v>15.3</v>
      </c>
      <c r="G7" s="185">
        <v>15.1</v>
      </c>
      <c r="I7" s="124" t="s">
        <v>55</v>
      </c>
      <c r="J7" s="183">
        <v>312</v>
      </c>
      <c r="K7" s="183">
        <v>148</v>
      </c>
      <c r="L7" s="183">
        <v>162</v>
      </c>
      <c r="M7" s="120"/>
      <c r="N7" s="120"/>
    </row>
    <row r="8" spans="1:14" ht="18" customHeight="1" x14ac:dyDescent="0.45">
      <c r="A8" s="91" t="s">
        <v>56</v>
      </c>
      <c r="B8" s="183">
        <f>J8/J4*100</f>
        <v>13.277232351566152</v>
      </c>
      <c r="C8" s="183">
        <f t="shared" ref="C8:D8" si="3">K8/K4*100</f>
        <v>9.3959731543624159</v>
      </c>
      <c r="D8" s="183">
        <f t="shared" si="3"/>
        <v>16.944444444444446</v>
      </c>
      <c r="E8" s="185">
        <v>12.4</v>
      </c>
      <c r="F8" s="185">
        <v>8.4</v>
      </c>
      <c r="G8" s="185">
        <v>16.399999999999999</v>
      </c>
      <c r="I8" s="124" t="s">
        <v>56</v>
      </c>
      <c r="J8" s="183">
        <v>284</v>
      </c>
      <c r="K8" s="183">
        <v>98</v>
      </c>
      <c r="L8" s="183">
        <v>183</v>
      </c>
      <c r="M8" s="120"/>
      <c r="N8" s="120"/>
    </row>
    <row r="9" spans="1:14" ht="18" customHeight="1" x14ac:dyDescent="0.45">
      <c r="A9" s="91" t="s">
        <v>57</v>
      </c>
      <c r="B9" s="183">
        <f>J9/J4*100</f>
        <v>7.2463768115942031</v>
      </c>
      <c r="C9" s="183">
        <f t="shared" ref="C9" si="4">K9/K4*100</f>
        <v>5.7526366251198464</v>
      </c>
      <c r="D9" s="183">
        <f>L9/L4*100</f>
        <v>8.7037037037037042</v>
      </c>
      <c r="E9" s="185">
        <v>8</v>
      </c>
      <c r="F9" s="185">
        <v>7.4</v>
      </c>
      <c r="G9" s="185">
        <v>8.6</v>
      </c>
      <c r="I9" s="124" t="s">
        <v>57</v>
      </c>
      <c r="J9" s="183">
        <v>155</v>
      </c>
      <c r="K9" s="183">
        <v>60</v>
      </c>
      <c r="L9" s="183">
        <v>94</v>
      </c>
      <c r="M9" s="120"/>
      <c r="N9" s="120"/>
    </row>
    <row r="10" spans="1:14" ht="18" customHeight="1" x14ac:dyDescent="0.45">
      <c r="A10" s="91" t="s">
        <v>58</v>
      </c>
      <c r="B10" s="183">
        <f>J10/J4*100</f>
        <v>6.264609630668537</v>
      </c>
      <c r="C10" s="183">
        <f t="shared" ref="C10:D10" si="5">K10/K4*100</f>
        <v>5.0814956855225306</v>
      </c>
      <c r="D10" s="183">
        <f t="shared" si="5"/>
        <v>7.4074074074074066</v>
      </c>
      <c r="E10" s="185">
        <v>7.2</v>
      </c>
      <c r="F10" s="185">
        <v>5.9</v>
      </c>
      <c r="G10" s="185">
        <v>8.6</v>
      </c>
      <c r="I10" s="124" t="s">
        <v>58</v>
      </c>
      <c r="J10" s="183">
        <v>134</v>
      </c>
      <c r="K10" s="183">
        <v>53</v>
      </c>
      <c r="L10" s="183">
        <v>80</v>
      </c>
      <c r="M10" s="120"/>
      <c r="N10" s="120"/>
    </row>
    <row r="11" spans="1:14" ht="18" customHeight="1" x14ac:dyDescent="0.45">
      <c r="A11" s="91" t="s">
        <v>59</v>
      </c>
      <c r="B11" s="183">
        <f>J11/J4*100</f>
        <v>8.6489013557737255</v>
      </c>
      <c r="C11" s="183">
        <f t="shared" ref="C11:D11" si="6">K11/K4*100</f>
        <v>5.4650047938638542</v>
      </c>
      <c r="D11" s="183">
        <f t="shared" si="6"/>
        <v>11.851851851851853</v>
      </c>
      <c r="E11" s="185">
        <v>7.6</v>
      </c>
      <c r="F11" s="185">
        <v>4.4000000000000004</v>
      </c>
      <c r="G11" s="185">
        <v>10.8</v>
      </c>
      <c r="I11" s="124" t="s">
        <v>59</v>
      </c>
      <c r="J11" s="183">
        <v>185</v>
      </c>
      <c r="K11" s="183">
        <v>57</v>
      </c>
      <c r="L11" s="183">
        <v>128</v>
      </c>
      <c r="M11" s="120"/>
      <c r="N11" s="120"/>
    </row>
    <row r="12" spans="1:14" ht="18" customHeight="1" x14ac:dyDescent="0.45">
      <c r="A12" s="91" t="s">
        <v>60</v>
      </c>
      <c r="B12" s="183">
        <f>J12/J4*100</f>
        <v>5.2360916316035535</v>
      </c>
      <c r="C12" s="183">
        <f t="shared" ref="C12:D12" si="7">K12/K4*100</f>
        <v>5.0814956855225306</v>
      </c>
      <c r="D12" s="183">
        <f t="shared" si="7"/>
        <v>5.4629629629629628</v>
      </c>
      <c r="E12" s="185">
        <v>6.6</v>
      </c>
      <c r="F12" s="185">
        <v>5.9</v>
      </c>
      <c r="G12" s="185">
        <v>7.3</v>
      </c>
      <c r="I12" s="124" t="s">
        <v>60</v>
      </c>
      <c r="J12" s="183">
        <v>112</v>
      </c>
      <c r="K12" s="183">
        <v>53</v>
      </c>
      <c r="L12" s="183">
        <v>59</v>
      </c>
      <c r="M12" s="120"/>
      <c r="N12" s="120"/>
    </row>
    <row r="13" spans="1:14" ht="18" customHeight="1" x14ac:dyDescent="0.45">
      <c r="A13" s="91" t="s">
        <v>61</v>
      </c>
      <c r="B13" s="183">
        <f>J13/J4*100</f>
        <v>4.2543244506778866</v>
      </c>
      <c r="C13" s="183">
        <f t="shared" ref="C13:D13" si="8">K13/K4*100</f>
        <v>4.1227229146692235</v>
      </c>
      <c r="D13" s="183">
        <f t="shared" si="8"/>
        <v>4.3518518518518521</v>
      </c>
      <c r="E13" s="185">
        <v>4.4000000000000004</v>
      </c>
      <c r="F13" s="185">
        <v>4.2</v>
      </c>
      <c r="G13" s="185">
        <v>4.5999999999999996</v>
      </c>
      <c r="I13" s="124" t="s">
        <v>61</v>
      </c>
      <c r="J13" s="183">
        <v>91</v>
      </c>
      <c r="K13" s="183">
        <v>43</v>
      </c>
      <c r="L13" s="183">
        <v>47</v>
      </c>
      <c r="M13" s="120"/>
      <c r="N13" s="120"/>
    </row>
    <row r="14" spans="1:14" ht="18" customHeight="1" x14ac:dyDescent="0.45">
      <c r="A14" s="91" t="s">
        <v>62</v>
      </c>
      <c r="B14" s="183">
        <f>J14/J4*100</f>
        <v>6.5918653576437585</v>
      </c>
      <c r="C14" s="183">
        <f t="shared" ref="C14:D14" si="9">K14/K4*100</f>
        <v>5.0814956855225306</v>
      </c>
      <c r="D14" s="183">
        <f t="shared" si="9"/>
        <v>8.0555555555555554</v>
      </c>
      <c r="E14" s="185">
        <v>6.2</v>
      </c>
      <c r="F14" s="185">
        <v>4.7</v>
      </c>
      <c r="G14" s="185">
        <v>7.6</v>
      </c>
      <c r="I14" s="124" t="s">
        <v>62</v>
      </c>
      <c r="J14" s="183">
        <v>141</v>
      </c>
      <c r="K14" s="183">
        <v>53</v>
      </c>
      <c r="L14" s="183">
        <v>87</v>
      </c>
      <c r="M14" s="120"/>
      <c r="N14" s="120"/>
    </row>
    <row r="15" spans="1:14" ht="18" customHeight="1" x14ac:dyDescent="0.45">
      <c r="A15" s="91" t="s">
        <v>63</v>
      </c>
      <c r="B15" s="183">
        <f>J15/J4*100</f>
        <v>4.0205703599812992</v>
      </c>
      <c r="C15" s="183">
        <f t="shared" ref="C15:D15" si="10">K15/K4*100</f>
        <v>4.3144774688398853</v>
      </c>
      <c r="D15" s="183">
        <f t="shared" si="10"/>
        <v>3.7037037037037033</v>
      </c>
      <c r="E15" s="185">
        <v>3.9</v>
      </c>
      <c r="F15" s="185">
        <v>4.2</v>
      </c>
      <c r="G15" s="185">
        <v>3.7</v>
      </c>
      <c r="I15" s="124" t="s">
        <v>63</v>
      </c>
      <c r="J15" s="183">
        <v>86</v>
      </c>
      <c r="K15" s="183">
        <v>45</v>
      </c>
      <c r="L15" s="183">
        <v>40</v>
      </c>
      <c r="M15" s="120"/>
      <c r="N15" s="120"/>
    </row>
    <row r="16" spans="1:14" ht="18" customHeight="1" x14ac:dyDescent="0.45">
      <c r="A16" s="91" t="s">
        <v>64</v>
      </c>
      <c r="B16" s="183">
        <f>J16/J4*100</f>
        <v>4.2543244506778866</v>
      </c>
      <c r="C16" s="183">
        <f t="shared" ref="C16:D16" si="11">K16/K4*100</f>
        <v>4.1227229146692235</v>
      </c>
      <c r="D16" s="183">
        <f t="shared" si="11"/>
        <v>4.3518518518518521</v>
      </c>
      <c r="E16" s="185">
        <v>4.0999999999999996</v>
      </c>
      <c r="F16" s="185">
        <v>4</v>
      </c>
      <c r="G16" s="185">
        <v>4.3</v>
      </c>
      <c r="I16" s="124" t="s">
        <v>64</v>
      </c>
      <c r="J16" s="183">
        <v>91</v>
      </c>
      <c r="K16" s="183">
        <v>43</v>
      </c>
      <c r="L16" s="183">
        <v>47</v>
      </c>
      <c r="M16" s="120"/>
      <c r="N16" s="120"/>
    </row>
    <row r="17" spans="1:14" ht="18" customHeight="1" x14ac:dyDescent="0.45">
      <c r="A17" s="91" t="s">
        <v>65</v>
      </c>
      <c r="B17" s="183">
        <f>J17/J4*100</f>
        <v>4.9088359046283312</v>
      </c>
      <c r="C17" s="183">
        <f t="shared" ref="C17:D17" si="12">K17/K4*100</f>
        <v>5.0814956855225306</v>
      </c>
      <c r="D17" s="183">
        <f t="shared" si="12"/>
        <v>4.8148148148148149</v>
      </c>
      <c r="E17" s="185">
        <v>5.0999999999999996</v>
      </c>
      <c r="F17" s="185">
        <v>5.9</v>
      </c>
      <c r="G17" s="185">
        <v>4.3</v>
      </c>
      <c r="I17" s="124" t="s">
        <v>65</v>
      </c>
      <c r="J17" s="183">
        <v>105</v>
      </c>
      <c r="K17" s="183">
        <v>53</v>
      </c>
      <c r="L17" s="183">
        <v>52</v>
      </c>
      <c r="M17" s="120"/>
      <c r="N17" s="120"/>
    </row>
    <row r="18" spans="1:14" ht="18" customHeight="1" x14ac:dyDescent="0.45">
      <c r="A18" s="91" t="s">
        <v>66</v>
      </c>
      <c r="B18" s="183">
        <f>J18/J4*100</f>
        <v>2.3375409069658719</v>
      </c>
      <c r="C18" s="183">
        <f t="shared" ref="C18:D18" si="13">K18/K4*100</f>
        <v>2.2051773729626079</v>
      </c>
      <c r="D18" s="183">
        <f t="shared" si="13"/>
        <v>2.5</v>
      </c>
      <c r="E18" s="185">
        <v>2.1</v>
      </c>
      <c r="F18" s="185">
        <v>1.7</v>
      </c>
      <c r="G18" s="185">
        <v>2.5</v>
      </c>
      <c r="I18" s="124" t="s">
        <v>66</v>
      </c>
      <c r="J18" s="183">
        <v>50</v>
      </c>
      <c r="K18" s="183">
        <v>23</v>
      </c>
      <c r="L18" s="183">
        <v>27</v>
      </c>
      <c r="M18" s="120"/>
      <c r="N18" s="120"/>
    </row>
    <row r="19" spans="1:14" ht="18" customHeight="1" x14ac:dyDescent="0.45">
      <c r="A19" s="91" t="s">
        <v>67</v>
      </c>
      <c r="B19" s="183">
        <f>J19/J4*100</f>
        <v>0.88826554464703134</v>
      </c>
      <c r="C19" s="183">
        <f t="shared" ref="C19:D19" si="14">K19/K4*100</f>
        <v>1.0546500479386385</v>
      </c>
      <c r="D19" s="183">
        <f t="shared" si="14"/>
        <v>0.74074074074074081</v>
      </c>
      <c r="E19" s="185">
        <v>0.9</v>
      </c>
      <c r="F19" s="185">
        <v>0.9</v>
      </c>
      <c r="G19" s="185">
        <v>0.9</v>
      </c>
      <c r="I19" s="124" t="s">
        <v>67</v>
      </c>
      <c r="J19" s="183">
        <v>19</v>
      </c>
      <c r="K19" s="183">
        <v>11</v>
      </c>
      <c r="L19" s="183">
        <v>8</v>
      </c>
      <c r="M19" s="120"/>
      <c r="N19" s="120"/>
    </row>
    <row r="20" spans="1:14" x14ac:dyDescent="0.45">
      <c r="I20" s="120"/>
      <c r="J20" s="120"/>
      <c r="K20" s="120"/>
      <c r="L20" s="120"/>
      <c r="M20" s="120"/>
      <c r="N20" s="120"/>
    </row>
  </sheetData>
  <mergeCells count="3">
    <mergeCell ref="B2:D2"/>
    <mergeCell ref="E2:G2"/>
    <mergeCell ref="J2:L2"/>
  </mergeCells>
  <phoneticPr fontId="2"/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BA98-68E8-4CD2-98B4-2792D4A1F68B}">
  <sheetPr>
    <pageSetUpPr fitToPage="1"/>
  </sheetPr>
  <dimension ref="A1:K34"/>
  <sheetViews>
    <sheetView showGridLines="0" view="pageBreakPreview" topLeftCell="A7" zoomScaleNormal="85" zoomScaleSheetLayoutView="100" workbookViewId="0">
      <selection activeCell="A29" sqref="A29"/>
    </sheetView>
  </sheetViews>
  <sheetFormatPr defaultRowHeight="14.4" x14ac:dyDescent="0.45"/>
  <cols>
    <col min="1" max="1" width="48.796875" style="89" customWidth="1"/>
    <col min="2" max="8" width="8.796875" style="89"/>
    <col min="9" max="9" width="38.296875" style="89" hidden="1" customWidth="1"/>
    <col min="10" max="11" width="8.796875" style="89" hidden="1" customWidth="1"/>
    <col min="12" max="16384" width="8.796875" style="89"/>
  </cols>
  <sheetData>
    <row r="1" spans="1:7" ht="21" x14ac:dyDescent="0.45">
      <c r="A1" s="126" t="s">
        <v>190</v>
      </c>
      <c r="B1" s="120"/>
      <c r="C1" s="120"/>
      <c r="D1" s="120"/>
      <c r="E1" s="120"/>
      <c r="F1" s="120"/>
      <c r="G1" s="120"/>
    </row>
    <row r="2" spans="1:7" x14ac:dyDescent="0.45">
      <c r="A2" s="116"/>
      <c r="B2" s="117" t="s">
        <v>0</v>
      </c>
      <c r="C2" s="118" t="s">
        <v>82</v>
      </c>
      <c r="D2" s="119">
        <v>2793</v>
      </c>
      <c r="E2" s="117" t="s">
        <v>0</v>
      </c>
      <c r="F2" s="118" t="s">
        <v>82</v>
      </c>
      <c r="G2" s="119">
        <v>40000</v>
      </c>
    </row>
    <row r="3" spans="1:7" x14ac:dyDescent="0.45">
      <c r="A3" s="116"/>
      <c r="B3" s="117" t="s">
        <v>1</v>
      </c>
      <c r="C3" s="118" t="s">
        <v>82</v>
      </c>
      <c r="D3" s="119">
        <v>1357</v>
      </c>
      <c r="E3" s="117"/>
      <c r="F3" s="118"/>
      <c r="G3" s="119"/>
    </row>
    <row r="4" spans="1:7" x14ac:dyDescent="0.45">
      <c r="A4" s="116"/>
      <c r="B4" s="117" t="s">
        <v>2</v>
      </c>
      <c r="C4" s="118" t="s">
        <v>82</v>
      </c>
      <c r="D4" s="119">
        <v>1407</v>
      </c>
      <c r="E4" s="117"/>
      <c r="F4" s="118"/>
      <c r="G4" s="119"/>
    </row>
    <row r="5" spans="1:7" ht="18" customHeight="1" x14ac:dyDescent="0.45">
      <c r="A5" s="316" t="s">
        <v>83</v>
      </c>
      <c r="B5" s="315" t="s">
        <v>39</v>
      </c>
      <c r="C5" s="315"/>
      <c r="D5" s="315"/>
      <c r="E5" s="316" t="s">
        <v>3</v>
      </c>
      <c r="F5" s="316"/>
      <c r="G5" s="316"/>
    </row>
    <row r="6" spans="1:7" ht="18" customHeight="1" x14ac:dyDescent="0.45">
      <c r="A6" s="317"/>
      <c r="B6" s="127" t="s">
        <v>0</v>
      </c>
      <c r="C6" s="127" t="s">
        <v>1</v>
      </c>
      <c r="D6" s="127" t="s">
        <v>2</v>
      </c>
      <c r="E6" s="128" t="s">
        <v>0</v>
      </c>
      <c r="F6" s="128" t="s">
        <v>1</v>
      </c>
      <c r="G6" s="128" t="s">
        <v>2</v>
      </c>
    </row>
    <row r="7" spans="1:7" ht="18" customHeight="1" x14ac:dyDescent="0.45">
      <c r="A7" s="129" t="s">
        <v>85</v>
      </c>
      <c r="B7" s="130">
        <f>100-B8</f>
        <v>22.842821339061942</v>
      </c>
      <c r="C7" s="130">
        <f>100-C8</f>
        <v>29.550478997789241</v>
      </c>
      <c r="D7" s="130">
        <f>100-D8</f>
        <v>16.488983653162762</v>
      </c>
      <c r="E7" s="131">
        <v>24</v>
      </c>
      <c r="F7" s="131">
        <v>29.5</v>
      </c>
      <c r="G7" s="131">
        <v>18.8</v>
      </c>
    </row>
    <row r="8" spans="1:7" ht="18" customHeight="1" x14ac:dyDescent="0.45">
      <c r="A8" s="129" t="s">
        <v>86</v>
      </c>
      <c r="B8" s="130">
        <f>2155/D2*100</f>
        <v>77.157178660938058</v>
      </c>
      <c r="C8" s="130">
        <f>956/D3*100</f>
        <v>70.449521002210759</v>
      </c>
      <c r="D8" s="130">
        <f>1175/D4*100</f>
        <v>83.511016346837238</v>
      </c>
      <c r="E8" s="131">
        <v>76</v>
      </c>
      <c r="F8" s="131">
        <v>70.5</v>
      </c>
      <c r="G8" s="131">
        <v>81.2</v>
      </c>
    </row>
    <row r="9" spans="1:7" ht="18" customHeight="1" x14ac:dyDescent="0.45">
      <c r="A9" s="120"/>
      <c r="E9" s="120"/>
      <c r="F9" s="120"/>
      <c r="G9" s="120"/>
    </row>
    <row r="10" spans="1:7" ht="18" customHeight="1" x14ac:dyDescent="0.45">
      <c r="A10" s="120"/>
      <c r="B10" s="117" t="s">
        <v>0</v>
      </c>
      <c r="C10" s="118" t="s">
        <v>82</v>
      </c>
      <c r="D10" s="119">
        <v>2793</v>
      </c>
      <c r="E10" s="117" t="s">
        <v>0</v>
      </c>
      <c r="F10" s="118" t="s">
        <v>82</v>
      </c>
      <c r="G10" s="119">
        <v>40000</v>
      </c>
    </row>
    <row r="11" spans="1:7" ht="18" customHeight="1" x14ac:dyDescent="0.45">
      <c r="A11" s="120"/>
      <c r="B11" s="117" t="s">
        <v>1</v>
      </c>
      <c r="C11" s="118" t="s">
        <v>82</v>
      </c>
      <c r="D11" s="119">
        <v>1357</v>
      </c>
      <c r="E11" s="117"/>
      <c r="F11" s="118"/>
      <c r="G11" s="119"/>
    </row>
    <row r="12" spans="1:7" ht="18" customHeight="1" x14ac:dyDescent="0.45">
      <c r="A12" s="120"/>
      <c r="B12" s="117" t="s">
        <v>2</v>
      </c>
      <c r="C12" s="118" t="s">
        <v>82</v>
      </c>
      <c r="D12" s="119">
        <v>1407</v>
      </c>
      <c r="E12" s="117"/>
      <c r="F12" s="118"/>
      <c r="G12" s="119"/>
    </row>
    <row r="13" spans="1:7" ht="18" customHeight="1" x14ac:dyDescent="0.45">
      <c r="A13" s="316" t="s">
        <v>84</v>
      </c>
      <c r="B13" s="315" t="s">
        <v>39</v>
      </c>
      <c r="C13" s="315"/>
      <c r="D13" s="315"/>
      <c r="E13" s="316" t="s">
        <v>3</v>
      </c>
      <c r="F13" s="316"/>
      <c r="G13" s="316"/>
    </row>
    <row r="14" spans="1:7" ht="18" customHeight="1" x14ac:dyDescent="0.45">
      <c r="A14" s="317"/>
      <c r="B14" s="127" t="s">
        <v>0</v>
      </c>
      <c r="C14" s="127" t="s">
        <v>1</v>
      </c>
      <c r="D14" s="127" t="s">
        <v>2</v>
      </c>
      <c r="E14" s="128" t="s">
        <v>0</v>
      </c>
      <c r="F14" s="128" t="s">
        <v>1</v>
      </c>
      <c r="G14" s="128" t="s">
        <v>2</v>
      </c>
    </row>
    <row r="15" spans="1:7" ht="18" customHeight="1" x14ac:dyDescent="0.45">
      <c r="A15" s="129" t="s">
        <v>85</v>
      </c>
      <c r="B15" s="130">
        <f>100-B16</f>
        <v>61.797350519155032</v>
      </c>
      <c r="C15" s="130">
        <f>100-C16</f>
        <v>69.270449521002206</v>
      </c>
      <c r="D15" s="130">
        <f>100-D16</f>
        <v>55.152807391613365</v>
      </c>
      <c r="E15" s="131">
        <v>64.3</v>
      </c>
      <c r="F15" s="131">
        <v>71.900000000000006</v>
      </c>
      <c r="G15" s="131">
        <v>57.4</v>
      </c>
    </row>
    <row r="16" spans="1:7" ht="18" customHeight="1" x14ac:dyDescent="0.45">
      <c r="A16" s="129" t="s">
        <v>86</v>
      </c>
      <c r="B16" s="130">
        <f>1067/D10*100</f>
        <v>38.202649480844968</v>
      </c>
      <c r="C16" s="130">
        <f>417/D11*100</f>
        <v>30.72955047899779</v>
      </c>
      <c r="D16" s="130">
        <f>631/D12*100</f>
        <v>44.847192608386635</v>
      </c>
      <c r="E16" s="131">
        <v>35.700000000000003</v>
      </c>
      <c r="F16" s="131">
        <v>28.1</v>
      </c>
      <c r="G16" s="131">
        <v>42.6</v>
      </c>
    </row>
    <row r="17" spans="1:10" x14ac:dyDescent="0.45">
      <c r="A17" s="120"/>
      <c r="E17" s="120"/>
      <c r="F17" s="120"/>
      <c r="G17" s="120"/>
    </row>
    <row r="18" spans="1:10" ht="21" x14ac:dyDescent="0.45">
      <c r="A18" s="126" t="s">
        <v>191</v>
      </c>
      <c r="B18" s="120"/>
      <c r="C18" s="120"/>
      <c r="D18" s="120"/>
      <c r="E18" s="120"/>
      <c r="F18" s="120"/>
      <c r="G18" s="120"/>
    </row>
    <row r="19" spans="1:10" x14ac:dyDescent="0.45">
      <c r="A19" s="118" t="s">
        <v>82</v>
      </c>
      <c r="B19" s="119">
        <v>2793</v>
      </c>
      <c r="C19" s="120"/>
      <c r="D19" s="120"/>
      <c r="E19" s="120"/>
      <c r="F19" s="120"/>
      <c r="G19" s="120"/>
    </row>
    <row r="20" spans="1:10" ht="18" customHeight="1" x14ac:dyDescent="0.45">
      <c r="A20" s="132"/>
      <c r="B20" s="133" t="s">
        <v>39</v>
      </c>
      <c r="C20" s="129" t="s">
        <v>3</v>
      </c>
      <c r="D20" s="120"/>
      <c r="E20" s="120"/>
      <c r="F20" s="120"/>
      <c r="G20" s="120"/>
      <c r="I20" s="132"/>
      <c r="J20" s="175" t="s">
        <v>39</v>
      </c>
    </row>
    <row r="21" spans="1:10" ht="18" customHeight="1" x14ac:dyDescent="0.45">
      <c r="A21" s="124" t="s">
        <v>199</v>
      </c>
      <c r="B21" s="121">
        <f>J21/B19*100</f>
        <v>39.384174722520591</v>
      </c>
      <c r="C21" s="125">
        <v>63</v>
      </c>
      <c r="D21" s="120"/>
      <c r="E21" s="120"/>
      <c r="F21" s="120"/>
      <c r="G21" s="120"/>
      <c r="I21" s="124" t="s">
        <v>199</v>
      </c>
      <c r="J21" s="186">
        <v>1100</v>
      </c>
    </row>
    <row r="22" spans="1:10" ht="18" customHeight="1" x14ac:dyDescent="0.45">
      <c r="A22" s="124" t="s">
        <v>200</v>
      </c>
      <c r="B22" s="121">
        <f>J22/B19*100</f>
        <v>5.2989616899391336</v>
      </c>
      <c r="C22" s="125">
        <v>7.9</v>
      </c>
      <c r="D22" s="120"/>
      <c r="E22" s="120"/>
      <c r="F22" s="120"/>
      <c r="G22" s="120"/>
      <c r="I22" s="124" t="s">
        <v>200</v>
      </c>
      <c r="J22" s="186">
        <v>148</v>
      </c>
    </row>
    <row r="23" spans="1:10" ht="18" customHeight="1" x14ac:dyDescent="0.45">
      <c r="A23" s="124" t="s">
        <v>201</v>
      </c>
      <c r="B23" s="121">
        <f>J23/B19*100</f>
        <v>5.4421768707482991</v>
      </c>
      <c r="C23" s="125">
        <v>8.9</v>
      </c>
      <c r="D23" s="120"/>
      <c r="E23" s="120"/>
      <c r="F23" s="120"/>
      <c r="G23" s="120"/>
      <c r="I23" s="124" t="s">
        <v>201</v>
      </c>
      <c r="J23" s="186">
        <v>152</v>
      </c>
    </row>
    <row r="24" spans="1:10" ht="18" customHeight="1" x14ac:dyDescent="0.45">
      <c r="A24" s="124" t="s">
        <v>87</v>
      </c>
      <c r="B24" s="121">
        <f>J24/B19*100</f>
        <v>16.648764769065522</v>
      </c>
      <c r="C24" s="125">
        <v>25</v>
      </c>
      <c r="D24" s="120"/>
      <c r="E24" s="120"/>
      <c r="F24" s="120"/>
      <c r="G24" s="120"/>
      <c r="I24" s="124" t="s">
        <v>87</v>
      </c>
      <c r="J24" s="186">
        <v>465</v>
      </c>
    </row>
    <row r="25" spans="1:10" ht="18" customHeight="1" x14ac:dyDescent="0.45">
      <c r="A25" s="124" t="s">
        <v>88</v>
      </c>
      <c r="B25" s="121">
        <f>J25/B19*100</f>
        <v>11.457214464733262</v>
      </c>
      <c r="C25" s="125">
        <v>19.899999999999999</v>
      </c>
      <c r="D25" s="120"/>
      <c r="E25" s="120"/>
      <c r="F25" s="120"/>
      <c r="G25" s="120"/>
      <c r="I25" s="124" t="s">
        <v>88</v>
      </c>
      <c r="J25" s="186">
        <v>320</v>
      </c>
    </row>
    <row r="26" spans="1:10" ht="18" customHeight="1" x14ac:dyDescent="0.45">
      <c r="A26" s="124" t="s">
        <v>89</v>
      </c>
      <c r="B26" s="121">
        <f>J26/B19*100</f>
        <v>8.9867525957751528</v>
      </c>
      <c r="C26" s="125">
        <v>15.2</v>
      </c>
      <c r="D26" s="120"/>
      <c r="E26" s="120"/>
      <c r="F26" s="120"/>
      <c r="G26" s="120"/>
      <c r="I26" s="124" t="s">
        <v>89</v>
      </c>
      <c r="J26" s="186">
        <v>251</v>
      </c>
    </row>
    <row r="27" spans="1:10" ht="18" customHeight="1" x14ac:dyDescent="0.45">
      <c r="A27" s="124" t="s">
        <v>90</v>
      </c>
      <c r="B27" s="121">
        <f>J27/B19*100</f>
        <v>3.5445757250268528</v>
      </c>
      <c r="C27" s="125">
        <v>5.0999999999999996</v>
      </c>
      <c r="D27" s="120"/>
      <c r="E27" s="120"/>
      <c r="F27" s="120"/>
      <c r="G27" s="120"/>
      <c r="I27" s="124" t="s">
        <v>90</v>
      </c>
      <c r="J27" s="186">
        <v>99</v>
      </c>
    </row>
    <row r="28" spans="1:10" ht="18" customHeight="1" x14ac:dyDescent="0.45">
      <c r="A28" s="124" t="s">
        <v>91</v>
      </c>
      <c r="B28" s="121">
        <f>J28/B19*100</f>
        <v>5.1915503043322593</v>
      </c>
      <c r="C28" s="125">
        <v>9</v>
      </c>
      <c r="D28" s="120"/>
      <c r="E28" s="120"/>
      <c r="F28" s="120"/>
      <c r="G28" s="120"/>
      <c r="I28" s="124" t="s">
        <v>91</v>
      </c>
      <c r="J28" s="186">
        <v>145</v>
      </c>
    </row>
    <row r="29" spans="1:10" ht="18" customHeight="1" x14ac:dyDescent="0.45">
      <c r="A29" s="124" t="s">
        <v>220</v>
      </c>
      <c r="B29" s="121">
        <f>J29/B19*100</f>
        <v>1.3963480128893664</v>
      </c>
      <c r="C29" s="125">
        <v>2.2000000000000002</v>
      </c>
      <c r="D29" s="120"/>
      <c r="E29" s="120"/>
      <c r="F29" s="120"/>
      <c r="G29" s="120"/>
      <c r="I29" s="124" t="s">
        <v>92</v>
      </c>
      <c r="J29" s="186">
        <v>39</v>
      </c>
    </row>
    <row r="30" spans="1:10" ht="18" customHeight="1" x14ac:dyDescent="0.45">
      <c r="A30" s="124" t="s">
        <v>93</v>
      </c>
      <c r="B30" s="121">
        <f>J30/B19*100</f>
        <v>1.6111707841031151</v>
      </c>
      <c r="C30" s="125">
        <v>3.5</v>
      </c>
      <c r="D30" s="120"/>
      <c r="E30" s="120"/>
      <c r="F30" s="120"/>
      <c r="G30" s="120"/>
      <c r="I30" s="124" t="s">
        <v>93</v>
      </c>
      <c r="J30" s="186">
        <v>45</v>
      </c>
    </row>
    <row r="31" spans="1:10" ht="18" customHeight="1" x14ac:dyDescent="0.45">
      <c r="A31" s="124" t="s">
        <v>94</v>
      </c>
      <c r="B31" s="121">
        <f>J31/B19*100</f>
        <v>8.9151450053705688</v>
      </c>
      <c r="C31" s="125">
        <v>16</v>
      </c>
      <c r="D31" s="120"/>
      <c r="E31" s="120"/>
      <c r="F31" s="120"/>
      <c r="G31" s="120"/>
      <c r="I31" s="124" t="s">
        <v>94</v>
      </c>
      <c r="J31" s="186">
        <v>249</v>
      </c>
    </row>
    <row r="32" spans="1:10" ht="18" customHeight="1" x14ac:dyDescent="0.45">
      <c r="A32" s="124" t="s">
        <v>95</v>
      </c>
      <c r="B32" s="121">
        <f>J32/B19*100</f>
        <v>0.28643036161833157</v>
      </c>
      <c r="C32" s="125">
        <v>0.7</v>
      </c>
      <c r="D32" s="120"/>
      <c r="E32" s="120"/>
      <c r="F32" s="120"/>
      <c r="G32" s="120"/>
      <c r="I32" s="124" t="s">
        <v>95</v>
      </c>
      <c r="J32" s="186">
        <v>8</v>
      </c>
    </row>
    <row r="33" spans="1:10" ht="18" customHeight="1" x14ac:dyDescent="0.45">
      <c r="A33" s="124" t="s">
        <v>36</v>
      </c>
      <c r="B33" s="121">
        <f>J33/B19*100</f>
        <v>1.9334049409237379</v>
      </c>
      <c r="C33" s="125">
        <v>3.1</v>
      </c>
      <c r="D33" s="120"/>
      <c r="E33" s="120"/>
      <c r="F33" s="120"/>
      <c r="G33" s="120"/>
      <c r="I33" s="124" t="s">
        <v>36</v>
      </c>
      <c r="J33" s="186">
        <v>54</v>
      </c>
    </row>
    <row r="34" spans="1:10" x14ac:dyDescent="0.45">
      <c r="C34" s="120"/>
      <c r="D34" s="120"/>
      <c r="E34" s="120"/>
      <c r="F34" s="120"/>
      <c r="G34" s="120"/>
    </row>
  </sheetData>
  <mergeCells count="6">
    <mergeCell ref="B5:D5"/>
    <mergeCell ref="E5:G5"/>
    <mergeCell ref="A5:A6"/>
    <mergeCell ref="A13:A14"/>
    <mergeCell ref="B13:D13"/>
    <mergeCell ref="E13:G13"/>
  </mergeCells>
  <phoneticPr fontId="2"/>
  <pageMargins left="0.7" right="0.7" top="0.75" bottom="0.75" header="0.3" footer="0.3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4179-D062-4F85-BF60-69F2B5CC4E75}">
  <sheetPr>
    <pageSetUpPr fitToPage="1"/>
  </sheetPr>
  <dimension ref="A1:F47"/>
  <sheetViews>
    <sheetView showGridLines="0" tabSelected="1" view="pageBreakPreview" zoomScale="85" zoomScaleNormal="70" zoomScaleSheetLayoutView="85" workbookViewId="0">
      <selection activeCell="A8" sqref="A8"/>
    </sheetView>
  </sheetViews>
  <sheetFormatPr defaultRowHeight="14.4" x14ac:dyDescent="0.45"/>
  <cols>
    <col min="1" max="1" width="71.09765625" style="89" bestFit="1" customWidth="1"/>
    <col min="2" max="3" width="8.796875" style="89"/>
    <col min="4" max="4" width="8.796875" style="89" customWidth="1"/>
    <col min="5" max="5" width="6.09765625" style="89" hidden="1" customWidth="1"/>
    <col min="6" max="6" width="8.796875" style="89" hidden="1" customWidth="1"/>
    <col min="7" max="16384" width="8.796875" style="89"/>
  </cols>
  <sheetData>
    <row r="1" spans="1:6" ht="21" x14ac:dyDescent="0.45">
      <c r="A1" s="106" t="s">
        <v>192</v>
      </c>
    </row>
    <row r="2" spans="1:6" x14ac:dyDescent="0.45">
      <c r="A2" s="107" t="s">
        <v>82</v>
      </c>
      <c r="B2" s="134">
        <v>2793</v>
      </c>
    </row>
    <row r="3" spans="1:6" ht="18" customHeight="1" x14ac:dyDescent="0.45">
      <c r="A3" s="91"/>
      <c r="B3" s="93" t="s">
        <v>39</v>
      </c>
      <c r="C3" s="92" t="s">
        <v>3</v>
      </c>
      <c r="E3" s="91"/>
      <c r="F3" s="174" t="s">
        <v>39</v>
      </c>
    </row>
    <row r="4" spans="1:6" ht="18" customHeight="1" x14ac:dyDescent="0.45">
      <c r="A4" s="91" t="s">
        <v>221</v>
      </c>
      <c r="B4" s="122">
        <f>F4/B2*100</f>
        <v>8.8793412101682776</v>
      </c>
      <c r="C4" s="91">
        <v>8.4</v>
      </c>
      <c r="E4" s="91" t="s">
        <v>96</v>
      </c>
      <c r="F4" s="187">
        <v>248</v>
      </c>
    </row>
    <row r="5" spans="1:6" ht="18" customHeight="1" x14ac:dyDescent="0.45">
      <c r="A5" s="91" t="s">
        <v>97</v>
      </c>
      <c r="B5" s="122">
        <f>F5/B2*100</f>
        <v>22.735409953455065</v>
      </c>
      <c r="C5" s="91">
        <v>22.3</v>
      </c>
      <c r="E5" s="91" t="s">
        <v>97</v>
      </c>
      <c r="F5" s="187">
        <v>635</v>
      </c>
    </row>
    <row r="6" spans="1:6" ht="18" customHeight="1" x14ac:dyDescent="0.45">
      <c r="A6" s="91" t="s">
        <v>98</v>
      </c>
      <c r="B6" s="122">
        <f>F6/B2*100</f>
        <v>6.5878983172216259</v>
      </c>
      <c r="C6" s="91">
        <v>6.7</v>
      </c>
      <c r="E6" s="91" t="s">
        <v>98</v>
      </c>
      <c r="F6" s="187">
        <v>184</v>
      </c>
    </row>
    <row r="7" spans="1:6" ht="18" customHeight="1" x14ac:dyDescent="0.45">
      <c r="A7" s="91" t="s">
        <v>99</v>
      </c>
      <c r="B7" s="122">
        <f>F7/B2*100</f>
        <v>9.9534550662370211</v>
      </c>
      <c r="C7" s="91">
        <v>11.2</v>
      </c>
      <c r="E7" s="91" t="s">
        <v>99</v>
      </c>
      <c r="F7" s="187">
        <v>278</v>
      </c>
    </row>
    <row r="8" spans="1:6" ht="18" customHeight="1" x14ac:dyDescent="0.45">
      <c r="A8" s="91" t="s">
        <v>100</v>
      </c>
      <c r="B8" s="122">
        <f>F8/B2*100</f>
        <v>0.10741138560687433</v>
      </c>
      <c r="C8" s="91">
        <v>0.1</v>
      </c>
      <c r="E8" s="91" t="s">
        <v>100</v>
      </c>
      <c r="F8" s="187">
        <v>3</v>
      </c>
    </row>
    <row r="9" spans="1:6" ht="18" customHeight="1" x14ac:dyDescent="0.45">
      <c r="A9" s="91" t="s">
        <v>101</v>
      </c>
      <c r="B9" s="122">
        <f>F9/B2*100</f>
        <v>51.736484067311139</v>
      </c>
      <c r="C9" s="91">
        <v>51.4</v>
      </c>
      <c r="E9" s="91" t="s">
        <v>101</v>
      </c>
      <c r="F9" s="187">
        <v>1445</v>
      </c>
    </row>
    <row r="11" spans="1:6" ht="21" x14ac:dyDescent="0.45">
      <c r="A11" s="106" t="s">
        <v>193</v>
      </c>
    </row>
    <row r="12" spans="1:6" x14ac:dyDescent="0.45">
      <c r="A12" s="107" t="s">
        <v>82</v>
      </c>
      <c r="B12" s="134">
        <v>2793</v>
      </c>
    </row>
    <row r="13" spans="1:6" ht="18" customHeight="1" x14ac:dyDescent="0.45">
      <c r="A13" s="91"/>
      <c r="B13" s="93" t="s">
        <v>39</v>
      </c>
      <c r="C13" s="92" t="s">
        <v>3</v>
      </c>
      <c r="E13" s="91"/>
      <c r="F13" s="174" t="s">
        <v>39</v>
      </c>
    </row>
    <row r="14" spans="1:6" ht="18" customHeight="1" x14ac:dyDescent="0.45">
      <c r="A14" s="91" t="s">
        <v>102</v>
      </c>
      <c r="B14" s="122">
        <f>F14/B12*100</f>
        <v>2.6136770497672752</v>
      </c>
      <c r="C14" s="123">
        <v>2.7</v>
      </c>
      <c r="E14" s="91" t="s">
        <v>102</v>
      </c>
      <c r="F14" s="187">
        <v>73</v>
      </c>
    </row>
    <row r="15" spans="1:6" ht="18" customHeight="1" x14ac:dyDescent="0.45">
      <c r="A15" s="91" t="s">
        <v>103</v>
      </c>
      <c r="B15" s="122">
        <f>F15/B12*100</f>
        <v>1.2531328320802004</v>
      </c>
      <c r="C15" s="123">
        <v>1</v>
      </c>
      <c r="E15" s="91" t="s">
        <v>103</v>
      </c>
      <c r="F15" s="187">
        <v>35</v>
      </c>
    </row>
    <row r="16" spans="1:6" ht="18" customHeight="1" x14ac:dyDescent="0.45">
      <c r="A16" s="91" t="s">
        <v>104</v>
      </c>
      <c r="B16" s="122">
        <f>F16/B12*100</f>
        <v>1.2531328320802004</v>
      </c>
      <c r="C16" s="123">
        <v>1.6</v>
      </c>
      <c r="E16" s="91" t="s">
        <v>104</v>
      </c>
      <c r="F16" s="187">
        <v>35</v>
      </c>
    </row>
    <row r="17" spans="1:6" ht="18" customHeight="1" x14ac:dyDescent="0.45">
      <c r="A17" s="91" t="s">
        <v>105</v>
      </c>
      <c r="B17" s="122">
        <f>F17/B12*100</f>
        <v>1.5037593984962405</v>
      </c>
      <c r="C17" s="123">
        <v>1.8</v>
      </c>
      <c r="E17" s="91" t="s">
        <v>105</v>
      </c>
      <c r="F17" s="187">
        <v>42</v>
      </c>
    </row>
    <row r="18" spans="1:6" ht="18" customHeight="1" x14ac:dyDescent="0.45">
      <c r="A18" s="91" t="s">
        <v>106</v>
      </c>
      <c r="B18" s="122">
        <f>F18/B12*100</f>
        <v>1.2531328320802004</v>
      </c>
      <c r="C18" s="123">
        <v>1.3</v>
      </c>
      <c r="E18" s="91" t="s">
        <v>106</v>
      </c>
      <c r="F18" s="187">
        <v>35</v>
      </c>
    </row>
    <row r="19" spans="1:6" ht="18" customHeight="1" x14ac:dyDescent="0.45">
      <c r="A19" s="91" t="s">
        <v>107</v>
      </c>
      <c r="B19" s="122">
        <f>F19/B12*100</f>
        <v>1.7543859649122806</v>
      </c>
      <c r="C19" s="123">
        <v>2.2999999999999998</v>
      </c>
      <c r="E19" s="91" t="s">
        <v>107</v>
      </c>
      <c r="F19" s="187">
        <v>49</v>
      </c>
    </row>
    <row r="20" spans="1:6" ht="18" customHeight="1" x14ac:dyDescent="0.45">
      <c r="A20" s="91" t="s">
        <v>110</v>
      </c>
      <c r="B20" s="122">
        <f>F20/B12*100</f>
        <v>2.0408163265306123</v>
      </c>
      <c r="C20" s="123">
        <v>1.9</v>
      </c>
      <c r="E20" s="91" t="s">
        <v>110</v>
      </c>
      <c r="F20" s="187">
        <v>57</v>
      </c>
    </row>
    <row r="21" spans="1:6" ht="18" customHeight="1" x14ac:dyDescent="0.45">
      <c r="A21" s="91" t="s">
        <v>108</v>
      </c>
      <c r="B21" s="122">
        <f>F21/B12*100</f>
        <v>0.71607590404582888</v>
      </c>
      <c r="C21" s="123">
        <v>1.1000000000000001</v>
      </c>
      <c r="E21" s="91" t="s">
        <v>108</v>
      </c>
      <c r="F21" s="187">
        <v>20</v>
      </c>
    </row>
    <row r="22" spans="1:6" ht="18" customHeight="1" x14ac:dyDescent="0.45">
      <c r="A22" s="91" t="s">
        <v>95</v>
      </c>
      <c r="B22" s="122">
        <f>F22/B12*100</f>
        <v>0.10741138560687433</v>
      </c>
      <c r="C22" s="123">
        <v>0.2</v>
      </c>
      <c r="E22" s="91" t="s">
        <v>95</v>
      </c>
      <c r="F22" s="187">
        <v>3</v>
      </c>
    </row>
    <row r="23" spans="1:6" ht="18" customHeight="1" x14ac:dyDescent="0.45">
      <c r="A23" s="91" t="s">
        <v>109</v>
      </c>
      <c r="B23" s="122">
        <f>F23/B12*100</f>
        <v>81.05979233798783</v>
      </c>
      <c r="C23" s="123">
        <v>81.099999999999994</v>
      </c>
      <c r="E23" s="91" t="s">
        <v>109</v>
      </c>
      <c r="F23" s="187">
        <v>2264</v>
      </c>
    </row>
    <row r="24" spans="1:6" ht="18" customHeight="1" x14ac:dyDescent="0.45">
      <c r="A24" s="91" t="s">
        <v>36</v>
      </c>
      <c r="B24" s="122">
        <f>F24/B12*100</f>
        <v>10.526315789473683</v>
      </c>
      <c r="C24" s="123">
        <v>9.6999999999999993</v>
      </c>
      <c r="E24" s="91" t="s">
        <v>36</v>
      </c>
      <c r="F24" s="187">
        <v>294</v>
      </c>
    </row>
    <row r="26" spans="1:6" ht="21" x14ac:dyDescent="0.45">
      <c r="A26" s="106" t="s">
        <v>194</v>
      </c>
    </row>
    <row r="27" spans="1:6" x14ac:dyDescent="0.45">
      <c r="A27" s="107" t="s">
        <v>82</v>
      </c>
      <c r="B27" s="134">
        <v>235</v>
      </c>
    </row>
    <row r="28" spans="1:6" ht="18" customHeight="1" x14ac:dyDescent="0.45">
      <c r="A28" s="91"/>
      <c r="B28" s="93" t="s">
        <v>39</v>
      </c>
      <c r="C28" s="92" t="s">
        <v>3</v>
      </c>
      <c r="E28" s="91"/>
      <c r="F28" s="174" t="s">
        <v>39</v>
      </c>
    </row>
    <row r="29" spans="1:6" ht="18" customHeight="1" x14ac:dyDescent="0.45">
      <c r="A29" s="91" t="s">
        <v>111</v>
      </c>
      <c r="B29" s="122">
        <f>F29/B27*100</f>
        <v>42.553191489361701</v>
      </c>
      <c r="C29" s="123">
        <v>40</v>
      </c>
      <c r="E29" s="91" t="s">
        <v>111</v>
      </c>
      <c r="F29" s="187">
        <v>100</v>
      </c>
    </row>
    <row r="30" spans="1:6" ht="18" customHeight="1" x14ac:dyDescent="0.45">
      <c r="A30" s="91" t="s">
        <v>112</v>
      </c>
      <c r="B30" s="122">
        <f>F30/B27*100</f>
        <v>53.191489361702125</v>
      </c>
      <c r="C30" s="123">
        <v>51.4</v>
      </c>
      <c r="E30" s="91" t="s">
        <v>112</v>
      </c>
      <c r="F30" s="187">
        <v>125</v>
      </c>
    </row>
    <row r="31" spans="1:6" ht="18" customHeight="1" x14ac:dyDescent="0.45">
      <c r="A31" s="91" t="s">
        <v>36</v>
      </c>
      <c r="B31" s="122">
        <f>F31/B27*100</f>
        <v>4.2553191489361701</v>
      </c>
      <c r="C31" s="123">
        <v>8.6</v>
      </c>
      <c r="E31" s="91" t="s">
        <v>36</v>
      </c>
      <c r="F31" s="187">
        <v>10</v>
      </c>
    </row>
    <row r="33" spans="1:6" ht="18" x14ac:dyDescent="0.45">
      <c r="A33" s="167" t="s">
        <v>195</v>
      </c>
    </row>
    <row r="34" spans="1:6" x14ac:dyDescent="0.45">
      <c r="A34" s="107" t="s">
        <v>82</v>
      </c>
      <c r="B34" s="134">
        <v>2793</v>
      </c>
    </row>
    <row r="35" spans="1:6" ht="18" customHeight="1" x14ac:dyDescent="0.45">
      <c r="A35" s="91"/>
      <c r="B35" s="93" t="s">
        <v>39</v>
      </c>
      <c r="C35" s="92" t="s">
        <v>3</v>
      </c>
      <c r="E35" s="91"/>
      <c r="F35" s="174" t="s">
        <v>39</v>
      </c>
    </row>
    <row r="36" spans="1:6" ht="18" customHeight="1" x14ac:dyDescent="0.45">
      <c r="A36" s="91" t="s">
        <v>113</v>
      </c>
      <c r="B36" s="122">
        <f>F36/B34*100</f>
        <v>14.249910490511994</v>
      </c>
      <c r="C36" s="123">
        <v>14.9</v>
      </c>
      <c r="E36" s="91" t="s">
        <v>113</v>
      </c>
      <c r="F36" s="187">
        <v>398</v>
      </c>
    </row>
    <row r="37" spans="1:6" ht="18" customHeight="1" x14ac:dyDescent="0.45">
      <c r="A37" s="91" t="s">
        <v>114</v>
      </c>
      <c r="B37" s="122">
        <f>F37/B34*100</f>
        <v>8.413891872538489</v>
      </c>
      <c r="C37" s="123">
        <v>9.8000000000000007</v>
      </c>
      <c r="E37" s="91" t="s">
        <v>114</v>
      </c>
      <c r="F37" s="187">
        <v>235</v>
      </c>
    </row>
    <row r="38" spans="1:6" ht="18" customHeight="1" x14ac:dyDescent="0.45">
      <c r="A38" s="91" t="s">
        <v>115</v>
      </c>
      <c r="B38" s="122">
        <f>F38/B34*100</f>
        <v>9.8460436806301477</v>
      </c>
      <c r="C38" s="123">
        <v>9.9</v>
      </c>
      <c r="E38" s="91" t="s">
        <v>115</v>
      </c>
      <c r="F38" s="187">
        <v>275</v>
      </c>
    </row>
    <row r="39" spans="1:6" ht="18" customHeight="1" x14ac:dyDescent="0.45">
      <c r="A39" s="91" t="s">
        <v>116</v>
      </c>
      <c r="B39" s="122">
        <f>F39/B34*100</f>
        <v>2.0050125313283207</v>
      </c>
      <c r="C39" s="123">
        <v>2.2000000000000002</v>
      </c>
      <c r="E39" s="91" t="s">
        <v>116</v>
      </c>
      <c r="F39" s="187">
        <v>56</v>
      </c>
    </row>
    <row r="40" spans="1:6" ht="18" customHeight="1" x14ac:dyDescent="0.45">
      <c r="A40" s="91" t="s">
        <v>117</v>
      </c>
      <c r="B40" s="122">
        <f>F40/B34*100</f>
        <v>4.1174364482635157</v>
      </c>
      <c r="C40" s="123">
        <v>5.4</v>
      </c>
      <c r="E40" s="91" t="s">
        <v>117</v>
      </c>
      <c r="F40" s="187">
        <v>115</v>
      </c>
    </row>
    <row r="41" spans="1:6" ht="18" customHeight="1" x14ac:dyDescent="0.45">
      <c r="A41" s="91" t="s">
        <v>118</v>
      </c>
      <c r="B41" s="122">
        <f>F41/B34*100</f>
        <v>1.2531328320802004</v>
      </c>
      <c r="C41" s="123">
        <v>1.1000000000000001</v>
      </c>
      <c r="E41" s="91" t="s">
        <v>118</v>
      </c>
      <c r="F41" s="187">
        <v>35</v>
      </c>
    </row>
    <row r="42" spans="1:6" ht="18" customHeight="1" x14ac:dyDescent="0.45">
      <c r="A42" s="91" t="s">
        <v>119</v>
      </c>
      <c r="B42" s="122">
        <f>F42/B34*100</f>
        <v>6.9817400644468313</v>
      </c>
      <c r="C42" s="123">
        <v>7.3</v>
      </c>
      <c r="E42" s="91" t="s">
        <v>119</v>
      </c>
      <c r="F42" s="187">
        <v>195</v>
      </c>
    </row>
    <row r="43" spans="1:6" ht="18" customHeight="1" x14ac:dyDescent="0.45">
      <c r="A43" s="91" t="s">
        <v>120</v>
      </c>
      <c r="B43" s="122">
        <f>F43/B34*100</f>
        <v>4.9409237379162185</v>
      </c>
      <c r="C43" s="123">
        <v>5.0999999999999996</v>
      </c>
      <c r="E43" s="91" t="s">
        <v>120</v>
      </c>
      <c r="F43" s="187">
        <v>138</v>
      </c>
    </row>
    <row r="44" spans="1:6" ht="18" customHeight="1" x14ac:dyDescent="0.45">
      <c r="A44" s="91" t="s">
        <v>121</v>
      </c>
      <c r="B44" s="122">
        <f>F44/B34*100</f>
        <v>14.178302900107411</v>
      </c>
      <c r="C44" s="123">
        <v>13.7</v>
      </c>
      <c r="E44" s="91" t="s">
        <v>121</v>
      </c>
      <c r="F44" s="187">
        <v>396</v>
      </c>
    </row>
    <row r="45" spans="1:6" ht="18" customHeight="1" x14ac:dyDescent="0.45">
      <c r="A45" s="91" t="s">
        <v>37</v>
      </c>
      <c r="B45" s="122">
        <f>F45/B34*100</f>
        <v>0.60866451843895453</v>
      </c>
      <c r="C45" s="123">
        <v>0.8</v>
      </c>
      <c r="E45" s="91" t="s">
        <v>37</v>
      </c>
      <c r="F45" s="187">
        <v>17</v>
      </c>
    </row>
    <row r="46" spans="1:6" ht="18" customHeight="1" x14ac:dyDescent="0.45">
      <c r="A46" s="91" t="s">
        <v>122</v>
      </c>
      <c r="B46" s="122">
        <f>F46/B34*100</f>
        <v>26.172574292875044</v>
      </c>
      <c r="C46" s="123">
        <v>26.3</v>
      </c>
      <c r="E46" s="91" t="s">
        <v>122</v>
      </c>
      <c r="F46" s="187">
        <v>731</v>
      </c>
    </row>
    <row r="47" spans="1:6" ht="18" customHeight="1" x14ac:dyDescent="0.45">
      <c r="A47" s="91" t="s">
        <v>36</v>
      </c>
      <c r="B47" s="122">
        <f>F47/B34*100</f>
        <v>27.676333691371287</v>
      </c>
      <c r="C47" s="123">
        <v>26.7</v>
      </c>
      <c r="E47" s="91" t="s">
        <v>36</v>
      </c>
      <c r="F47" s="187">
        <v>773</v>
      </c>
    </row>
  </sheetData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Sheet1</vt:lpstr>
      <vt:lpstr>スポーツ実施率A（Q11）</vt:lpstr>
      <vt:lpstr>運動・スポーツ実施理由（Q13）</vt:lpstr>
      <vt:lpstr>スポーツ実施希望率（Q19）</vt:lpstr>
      <vt:lpstr>年代別実施頻度（Q23）</vt:lpstr>
      <vt:lpstr>実施増加理由（Q24）</vt:lpstr>
      <vt:lpstr>阻害要因（Q25）</vt:lpstr>
      <vt:lpstr>見る（Q29,Q30）</vt:lpstr>
      <vt:lpstr>支える（Q31，32，33，34）</vt:lpstr>
      <vt:lpstr>well-being【20-79】</vt:lpstr>
      <vt:lpstr>する・みる・ささえるの割合</vt:lpstr>
      <vt:lpstr>well-being（R4、R5）【18-79】</vt:lpstr>
      <vt:lpstr>'well-being（R4、R5）【18-79】'!Print_Area</vt:lpstr>
      <vt:lpstr>'well-being【20-79】'!Print_Area</vt:lpstr>
      <vt:lpstr>'スポーツ実施希望率（Q19）'!Print_Area</vt:lpstr>
      <vt:lpstr>'スポーツ実施率A（Q11）'!Print_Area</vt:lpstr>
      <vt:lpstr>'運動・スポーツ実施理由（Q13）'!Print_Area</vt:lpstr>
      <vt:lpstr>'見る（Q29,Q30）'!Print_Area</vt:lpstr>
      <vt:lpstr>'支える（Q31，32，33，34）'!Print_Area</vt:lpstr>
      <vt:lpstr>'実施増加理由（Q24）'!Print_Area</vt:lpstr>
      <vt:lpstr>'阻害要因（Q25）'!Print_Area</vt:lpstr>
      <vt:lpstr>'年代別実施頻度（Q23）'!Print_Area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2026-06-18T01:26:48Z</cp:lastPrinted>
  <dcterms:created xsi:type="dcterms:W3CDTF">2024-04-15T01:37:12Z</dcterms:created>
  <dcterms:modified xsi:type="dcterms:W3CDTF">2026-06-25T11:27:38Z</dcterms:modified>
  <cp:category/>
  <cp:contentStatus/>
</cp:coreProperties>
</file>