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'随時③-2'!$A$1:$L$92</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76"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<sst xmlns="http://schemas.openxmlformats.org/spreadsheetml/2006/main" count="1128" uniqueCount="404">
  <si>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</si>
  <si>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</si>
  <si>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</si>
  <si>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</si>
  <si>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</si>
  <si>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</si>
  <si>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</si>
  <si>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</si>
  <si>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</si>
  <si>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</si>
  <si>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</si>
  <si>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</si>
  <si>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</si>
  <si>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</si>
  <si>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</si>
  <si>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</si>
  <si>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</si>
  <si>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</si>
  <si>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</si>
  <si>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</si>
  <si>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</si>
  <si>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</si>
  <si>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</si>
  <si>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</si>
  <si>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</si>
  <si>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</si>
  <si>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</si>
  <si>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</si>
  <si>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</si>
  <si>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</si>
  <si>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</si>
  <si>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</si>
  <si>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</si>
  <si>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</si>
  <si>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</si>
  <si>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</si>
  <si>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</si>
  <si>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</si>
  <si>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</si>
  <si>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</si>
  <si>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</si>
  <si>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</si>
  <si>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</si>
  <si>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</si>
  <si>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</si>
  <si>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</si>
  <si>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</si>
  <si>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</si>
  <si>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</si>
  <si>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</si>
  <si>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</si>
  <si>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</si>
  <si>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</si>
  <si>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</si>
  <si>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</si>
  <si>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</si>
  <si>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</si>
  <si>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</si>
  <si>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</si>
  <si>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</si>
  <si>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</si>
  <si>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</si>
  <si>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</si>
  <si>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</si>
  <si>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</si>
  <si>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</si>
  <si>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</si>
  <si>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</si>
  <si>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</si>
  <si>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</si>
  <si>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</si>
  <si>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</si>
  <si>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</si>
  <si>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</si>
  <si>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</si>
  <si>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</si>
  <si>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</si>
  <si>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</si>
  <si>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</si>
  <si>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</si>
  <si>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</si>
  <si>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</si>
  <si>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</si>
  <si>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</si>
  <si>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</si>
  <si>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</si>
  <si>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</si>
  <si>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</si>
  <si>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</si>
  <si>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</si>
  <si>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</si>
  <si>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</si>
  <si>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</si>
  <si>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</si>
  <si>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</si>
  <si>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</si>
  <si>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</si>
  <si>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</si>
  <si>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</si>
  <si>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</si>
  <si>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</si>
  <si>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</si>
  <si>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</si>
  <si>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</si>
  <si>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</si>
  <si>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</si>
  <si>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</si>
  <si>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</si>
  <si>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</si>
  <si>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</si>
  <si>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</si>
  <si>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</si>
  <si>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</si>
  <si>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</si>
  <si>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</si>
  <si>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</si>
  <si>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</si>
  <si>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</si>
  <si>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</si>
  <si>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</si>
  <si>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</si>
  <si>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</si>
  <si>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</si>
  <si>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</si>
  <si>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</si>
  <si>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</si>
  <si>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</si>
  <si>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</si>
  <si>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</si>
  <si>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</si>
  <si>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</si>
  <si>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</si>
  <si>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</si>
  <si>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</si>
  <si>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</si>
  <si>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</si>
  <si>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</si>
  <si>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</si>
  <si>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</si>
  <si>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</si>
  <si>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</si>
  <si>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</si>
  <si>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</si>
  <si>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</si>
  <si>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</si>
  <si>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</si>
  <si>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</si>
  <si>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</si>
  <si>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</si>
  <si>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</si>
  <si>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</si>
  <si>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</si>
  <si>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</si>
  <si>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</si>
  <si>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</si>
  <si>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</si>
  <si>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</si>
  <si>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</si>
  <si>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</si>
  <si>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</si>
  <si>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</si>
  <si>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</si>
  <si>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</si>
  <si>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</si>
  <si>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</si>
  <si>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</si>
  <si>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</si>
  <si>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</si>
  <si>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</si>
  <si>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</si>
  <si>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</si>
  <si>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</si>
  <si>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</si>
  <si>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</si>
  <si>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</si>
  <si>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</si>
  <si>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</si>
  <si>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</si>
  <si>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</si>
  <si>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</si>
  <si>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</si>
  <si>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</si>
  <si>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</si>
  <si>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</si>
  <si>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</si>
  <si>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</si>
  <si>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</si>
  <si>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</si>
  <si>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</si>
  <si>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</si>
  <si>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</si>
  <si>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</si>
  <si>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</si>
  <si>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</si>
  <si>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</si>
  <si>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</si>
  <si>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</si>
  <si>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</si>
  <si>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</si>
  <si>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</si>
  <si>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</si>
  <si>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</si>
  <si>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</si>
  <si>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</si>
  <si>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</si>
  <si>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</si>
  <si>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</si>
  <si>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</si>
  <si>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</si>
  <si>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</si>
  <si>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</si>
  <si>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</si>
  <si>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</si>
  <si>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</si>
  <si>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</si>
  <si>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</si>
  <si>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</si>
  <si>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</si>
  <si>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</si>
  <si>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</si>
  <si>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</si>
  <si>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</si>
  <si>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</si>
  <si>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</si>
  <si>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</si>
  <si>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</si>
  <si>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</si>
  <si>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</si>
  <si>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</si>
  <si>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</si>
  <si>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</si>
  <si>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</si>
  <si>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</si>
  <si>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</si>
  <si>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</si>
  <si>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</si>
  <si>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</si>
  <si>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</si>
  <si>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</si>
  <si>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</si>
  <si>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</si>
  <si>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</si>
  <si>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</si>
  <si>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</si>
  <si>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</si>
  <si>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</si>
  <si>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</si>
  <si>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</si>
  <si>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</si>
  <si>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</si>
  <si>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</si>
  <si>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</si>
  <si>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</si>
  <si>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</si>
  <si>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</si>
  <si>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</si>
  <si>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</si>
  <si>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</si>
  <si>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</si>
  <si>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</si>
  <si>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</si>
  <si>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</si>
  <si>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</si>
  <si>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</si>
  <si>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</si>
  <si>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</si>
  <si>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</si>
  <si>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</si>
  <si>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</si>
  <si>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</si>
  <si>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</si>
  <si>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</si>
  <si>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負担金、補助及び交付金</t>
  </si>
  <si>
    <t>全国特別支援学校校長会研究大会資料代</t>
  </si>
  <si>
    <t>旅費</t>
  </si>
  <si>
    <t>府立人研夏季セミナー参加費</t>
  </si>
  <si>
    <t>自閉症スペクトラム症への認知発達治療参加費</t>
  </si>
  <si>
    <t>府立思斉支援学校　</t>
  </si>
  <si>
    <t>　校長　羽山　尚一</t>
  </si>
  <si>
    <t>（学校番号：Ｓ２１）</t>
  </si>
  <si>
    <t>（財務会計コード番号：１１５８６）</t>
  </si>
  <si>
    <t>1(1)イ</t>
  </si>
  <si>
    <t>1(1)イ</t>
  </si>
  <si>
    <t>アセスメント、自閉症、知的障がいの理解について研修に取り組む。</t>
  </si>
  <si>
    <t>1(1)ウ</t>
  </si>
  <si>
    <t>1(1)ウ</t>
  </si>
  <si>
    <t>授業改善に取り組む。</t>
  </si>
  <si>
    <t>授業改善に取り組む。</t>
  </si>
  <si>
    <t>保護者対応研修会講師謝金（教員対象）</t>
  </si>
  <si>
    <t>アセスメント、自閉症、知的障がいの理解について研修に取り組む。</t>
  </si>
  <si>
    <t>負担金、補助及び交付金</t>
  </si>
  <si>
    <t>負担金、補助及び交付金</t>
  </si>
  <si>
    <t>養護教諭キャリアアップ研修会参加費</t>
  </si>
  <si>
    <t>支援教育研修会講師謝金（教員対象）</t>
  </si>
  <si>
    <t>授業用テレビ</t>
  </si>
  <si>
    <t>1(1)イ</t>
  </si>
  <si>
    <t>1(1)イ</t>
  </si>
  <si>
    <t>1(1)ウ</t>
  </si>
  <si>
    <t>1(1)ウ</t>
  </si>
  <si>
    <t>授業改善に取り組む。</t>
  </si>
  <si>
    <t>消耗需用費</t>
  </si>
  <si>
    <t>消耗需用費</t>
  </si>
  <si>
    <t>箱庭用具</t>
  </si>
  <si>
    <t>　思支第1075-2号　</t>
  </si>
  <si>
    <t>自閉症スペクトラム症への認知発達治療参加費</t>
  </si>
  <si>
    <t>講師旅費</t>
  </si>
  <si>
    <t>講師旅費</t>
  </si>
  <si>
    <t>　思支第1075号　</t>
  </si>
  <si>
    <t>支援教育研修会講師謝金（教員対象）</t>
  </si>
  <si>
    <t>授業改善に取り組む。</t>
  </si>
  <si>
    <t>授業改善に取り組む。</t>
  </si>
  <si>
    <t>箱庭用具</t>
  </si>
  <si>
    <t>トナーカートリッジ</t>
  </si>
  <si>
    <t>リサイクルトナーカートリッジ</t>
  </si>
  <si>
    <t>無線LAN子機単体</t>
  </si>
  <si>
    <t>音楽用 CD-R 20枚　</t>
  </si>
  <si>
    <t>コンパクトデジタルカメラ</t>
  </si>
  <si>
    <t>ワイヤレスマイク</t>
  </si>
  <si>
    <t>Lightning Digital AV アダプター</t>
  </si>
  <si>
    <t>ビデオカメラ用 広角 0.6倍 ワイドコンバージョンレンズ</t>
  </si>
  <si>
    <t>iPadカバー (iPadM iPad Retina)</t>
  </si>
  <si>
    <t>iPadカバー（iPadK iPad2)</t>
  </si>
  <si>
    <t>カードリーダー</t>
  </si>
  <si>
    <t xml:space="preserve">高速無線ルーター </t>
  </si>
  <si>
    <t>高速無線ルーター</t>
  </si>
  <si>
    <t>無線LAN ルーター 親機</t>
  </si>
  <si>
    <t>ステレオミニプラグ　オーディオケーブル</t>
  </si>
  <si>
    <t>SDカード</t>
  </si>
  <si>
    <t>HDMI変換（延長）アダプタ15ピン</t>
  </si>
  <si>
    <t>BD-RE</t>
  </si>
  <si>
    <t>ノートPC</t>
  </si>
  <si>
    <t>ブルーレイ/DVDプレーヤー</t>
  </si>
  <si>
    <t>HDMIケーブル（1.5m）</t>
  </si>
  <si>
    <t>CDポータブルシステム</t>
  </si>
  <si>
    <t>壁掛け用ワンウェイ掲示板</t>
  </si>
  <si>
    <t>交換式クリヤーブック</t>
  </si>
  <si>
    <t>クリヤーポケット</t>
  </si>
  <si>
    <t>ジュースミキサー</t>
  </si>
  <si>
    <t>整理theパック（チャック付ポリ袋）</t>
  </si>
  <si>
    <t>紙すきセット（はがき）</t>
  </si>
  <si>
    <t>ディスクカッター ２０枚</t>
  </si>
  <si>
    <t>封筒作成用　クラフト紙</t>
  </si>
  <si>
    <t>キャッチハンドル 替糸</t>
  </si>
  <si>
    <t>ダスタークロス　レギュラーシート　Ｍ</t>
  </si>
  <si>
    <t>カンカン安全ポリッシャーCP-12M型（標準回転）</t>
  </si>
  <si>
    <t>ポリ製パッド台　１３型　薄型</t>
  </si>
  <si>
    <t>丸林製ポリッシャー用プレート４ツ爪　１２型用</t>
  </si>
  <si>
    <t xml:space="preserve">スコッチ・ブライト(TM) ブルークリーナーパッド 青 330mm </t>
  </si>
  <si>
    <t xml:space="preserve">スコッチ・ブライト(TM) ホワイトスーパーポリッシュパッド 白 330mm </t>
  </si>
  <si>
    <t>エルチャレンジ　清掃技能ＤＶＤ</t>
  </si>
  <si>
    <t>2(2)</t>
  </si>
  <si>
    <t>高等部職業コース設置</t>
  </si>
  <si>
    <t>ファイルワゴン</t>
  </si>
  <si>
    <t>プロジェクタースクリーン７５型PRS-WB1218M サンワサプライ</t>
  </si>
  <si>
    <t>無線LANユニットelpap10</t>
  </si>
  <si>
    <t>HDMIケーブル（1.5m）</t>
  </si>
  <si>
    <t>授業用テレビ</t>
  </si>
  <si>
    <t>CDポータブルシステム</t>
  </si>
  <si>
    <t>壁掛け用ワンウェイ掲示板</t>
  </si>
  <si>
    <t>交換式クリヤーブック</t>
  </si>
  <si>
    <t>ファイルワゴン</t>
  </si>
  <si>
    <t>クリヤーポケット</t>
  </si>
  <si>
    <t>306の減額再掲</t>
  </si>
  <si>
    <t>307の増額再掲</t>
  </si>
  <si>
    <t>308の増額再掲</t>
  </si>
  <si>
    <t>309の増額再掲</t>
  </si>
  <si>
    <t>310の増額再掲</t>
  </si>
  <si>
    <t>311の増額再掲</t>
  </si>
  <si>
    <t>312の増額再掲</t>
  </si>
  <si>
    <t>313の増額再掲</t>
  </si>
  <si>
    <t>314の減額再掲</t>
  </si>
  <si>
    <t>315の増額再掲</t>
  </si>
  <si>
    <t>316の増額再掲</t>
  </si>
  <si>
    <t>317の増額再掲</t>
  </si>
  <si>
    <t>318の増額再掲</t>
  </si>
  <si>
    <t>319の増額再掲</t>
  </si>
  <si>
    <t>320の増額再掲</t>
  </si>
  <si>
    <t>321の増額再掲</t>
  </si>
  <si>
    <t>322の増額再掲</t>
  </si>
  <si>
    <t>323の増額再掲</t>
  </si>
  <si>
    <t>324の増額再掲</t>
  </si>
  <si>
    <t>325の増額再掲</t>
  </si>
  <si>
    <t>326の増額再掲</t>
  </si>
  <si>
    <t>327の増額再掲</t>
  </si>
  <si>
    <t>328の増額再掲</t>
  </si>
  <si>
    <t>329の増額再掲</t>
  </si>
  <si>
    <t>新規</t>
  </si>
  <si>
    <t>330の増額再掲</t>
  </si>
  <si>
    <t>331の増額再掲</t>
  </si>
  <si>
    <t>333の増額再掲</t>
  </si>
  <si>
    <t>332の減額再掲</t>
  </si>
  <si>
    <t>思支第1075-3号　</t>
  </si>
  <si>
    <t>１（１）ウ</t>
  </si>
  <si>
    <t>○</t>
  </si>
  <si>
    <t>１（１）イ</t>
  </si>
  <si>
    <t>養護教諭キャリアアップ研修、保護者対応研修会講師謝金、支援教育研修会講師謝金、講師旅費</t>
  </si>
  <si>
    <t>コンパクトデジタルカメラ</t>
  </si>
  <si>
    <t>プロジェクターEB-X41 エプソン</t>
  </si>
  <si>
    <t>ブルーレイ/DVDプレーヤー</t>
  </si>
  <si>
    <t>各種団体負担金（会費）、全国特別支援学校校長会研究大会、プロジェクター、スクリーン、ＰＣ、デジカメ、ブルーレイ/DVDプレーヤーほか</t>
  </si>
  <si>
    <t>平成３０年　４月１１日</t>
  </si>
  <si>
    <t>思支第1075-3号</t>
  </si>
  <si>
    <t>平成29年度校長マネジメント経費　予算執行状況及び実施報告書</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</si>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</sst>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7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color indexed="8"/>
      <name val="Meiryo UI"/>
      <family val="3"/>
    </font>
    <font>
      <sz val="10"/>
      <color indexed="8"/>
      <name val="Meiryo UI"/>
      <family val="3"/>
    </font>
    <font>
      <sz val="10"/>
      <color indexed="8"/>
      <name val="HG丸ｺﾞｼｯｸM-PRO"/>
      <family val="3"/>
    </font>
    <font>
      <sz val="10"/>
      <color indexed="10"/>
      <name val="HG丸ｺﾞｼｯｸM-PRO"/>
      <family val="3"/>
    </font>
    <font>
      <strike/>
      <sz val="10"/>
      <color indexed="10"/>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9"/>
      <color theme="1"/>
      <name val="Meiryo UI"/>
      <family val="3"/>
    </font>
    <font>
      <sz val="10"/>
      <color theme="1"/>
      <name val="Meiryo UI"/>
      <family val="3"/>
    </font>
    <font>
      <sz val="10"/>
      <color theme="1"/>
      <name val="HG丸ｺﾞｼｯｸM-PRO"/>
      <family val="3"/>
    </font>
    <font>
      <sz val="10"/>
      <color rgb="FFFF0000"/>
      <name val="HG丸ｺﾞｼｯｸM-PRO"/>
      <family val="3"/>
    </font>
    <font>
      <strike/>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medium"/>
      <right style="thin"/>
      <top>
        <color indexed="63"/>
      </top>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color indexed="63"/>
      </top>
      <bottom style="thin"/>
    </border>
    <border>
      <left/>
      <right style="thin"/>
      <top>
        <color indexed="63"/>
      </top>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66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5"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6"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5"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2" fillId="6" borderId="88" xfId="0" applyFont="1" applyFill="1" applyBorder="1" applyAlignment="1" applyProtection="1">
      <alignment horizontal="left" vertical="center"/>
      <protection locked="0"/>
    </xf>
    <xf numFmtId="0" fontId="22" fillId="6" borderId="88" xfId="0" applyFont="1" applyFill="1" applyBorder="1" applyAlignment="1" applyProtection="1">
      <alignment horizontal="left" vertical="center" wrapText="1"/>
      <protection locked="0"/>
    </xf>
    <xf numFmtId="0" fontId="67" fillId="6" borderId="88" xfId="0" applyFont="1" applyFill="1" applyBorder="1" applyAlignment="1" applyProtection="1">
      <alignment vertical="center"/>
      <protection locked="0"/>
    </xf>
    <xf numFmtId="0" fontId="7" fillId="6" borderId="116" xfId="0" applyFont="1" applyFill="1" applyBorder="1" applyAlignment="1" applyProtection="1">
      <alignment horizontal="left" vertical="center" shrinkToFit="1"/>
      <protection locked="0"/>
    </xf>
    <xf numFmtId="0" fontId="68" fillId="6" borderId="88" xfId="0" applyFont="1" applyFill="1" applyBorder="1" applyAlignment="1" applyProtection="1">
      <alignment horizontal="left" vertical="center"/>
      <protection locked="0"/>
    </xf>
    <xf numFmtId="0" fontId="69" fillId="6" borderId="88" xfId="0" applyFont="1" applyFill="1" applyBorder="1" applyAlignment="1" applyProtection="1">
      <alignment horizontal="left" vertical="center" shrinkToFit="1"/>
      <protection locked="0"/>
    </xf>
    <xf numFmtId="0" fontId="68" fillId="6" borderId="88" xfId="0" applyFont="1" applyFill="1" applyBorder="1" applyAlignment="1" applyProtection="1">
      <alignment horizontal="left" vertical="center" wrapText="1"/>
      <protection locked="0"/>
    </xf>
    <xf numFmtId="179" fontId="7" fillId="6" borderId="90" xfId="57" applyNumberFormat="1" applyFont="1" applyFill="1" applyBorder="1" applyAlignment="1" applyProtection="1">
      <alignment vertical="center" shrinkToFit="1"/>
      <protection locked="0"/>
    </xf>
    <xf numFmtId="179" fontId="7" fillId="6" borderId="88" xfId="57" applyNumberFormat="1" applyFont="1" applyFill="1" applyBorder="1" applyAlignment="1" applyProtection="1">
      <alignment vertical="center" shrinkToFit="1"/>
      <protection locked="0"/>
    </xf>
    <xf numFmtId="179" fontId="7" fillId="6" borderId="111" xfId="57" applyNumberFormat="1" applyFont="1" applyFill="1" applyBorder="1" applyAlignment="1" applyProtection="1">
      <alignment vertical="center" shrinkToFit="1"/>
      <protection locked="0"/>
    </xf>
    <xf numFmtId="179" fontId="69" fillId="6" borderId="88" xfId="57" applyNumberFormat="1" applyFont="1" applyFill="1" applyBorder="1" applyAlignment="1" applyProtection="1">
      <alignment vertical="center" shrinkToFit="1"/>
      <protection locked="0"/>
    </xf>
    <xf numFmtId="179" fontId="7" fillId="6" borderId="92" xfId="57" applyNumberFormat="1" applyFont="1" applyFill="1" applyBorder="1" applyAlignment="1" applyProtection="1">
      <alignment vertical="center" shrinkToFit="1"/>
      <protection locked="0"/>
    </xf>
    <xf numFmtId="178" fontId="69" fillId="6" borderId="88" xfId="0" applyNumberFormat="1" applyFont="1" applyFill="1" applyBorder="1" applyAlignment="1" applyProtection="1">
      <alignment vertical="center" shrinkToFit="1"/>
      <protection locked="0"/>
    </xf>
    <xf numFmtId="178" fontId="69" fillId="6" borderId="90" xfId="0" applyNumberFormat="1" applyFont="1" applyFill="1" applyBorder="1" applyAlignment="1" applyProtection="1">
      <alignment vertical="center" shrinkToFit="1"/>
      <protection locked="0"/>
    </xf>
    <xf numFmtId="178" fontId="69" fillId="6" borderId="92" xfId="0" applyNumberFormat="1" applyFont="1" applyFill="1" applyBorder="1" applyAlignment="1" applyProtection="1">
      <alignment vertical="center" shrinkToFit="1"/>
      <protection locked="0"/>
    </xf>
    <xf numFmtId="178" fontId="69" fillId="6" borderId="111" xfId="0" applyNumberFormat="1" applyFont="1" applyFill="1" applyBorder="1" applyAlignment="1" applyProtection="1">
      <alignment vertical="center" shrinkToFit="1"/>
      <protection locked="0"/>
    </xf>
    <xf numFmtId="179" fontId="7" fillId="6" borderId="88" xfId="48" applyNumberFormat="1" applyFont="1" applyFill="1" applyBorder="1" applyAlignment="1" applyProtection="1">
      <alignment horizontal="right" vertical="center"/>
      <protection locked="0"/>
    </xf>
    <xf numFmtId="179" fontId="69" fillId="6" borderId="88" xfId="48" applyNumberFormat="1" applyFont="1" applyFill="1" applyBorder="1" applyAlignment="1" applyProtection="1">
      <alignment horizontal="right" vertical="center"/>
      <protection locked="0"/>
    </xf>
    <xf numFmtId="178" fontId="69" fillId="6" borderId="88" xfId="48" applyNumberFormat="1" applyFont="1" applyFill="1" applyBorder="1" applyAlignment="1" applyProtection="1">
      <alignment horizontal="right" vertical="center"/>
      <protection locked="0"/>
    </xf>
    <xf numFmtId="178" fontId="69" fillId="6" borderId="88" xfId="0" applyNumberFormat="1" applyFont="1" applyFill="1" applyBorder="1" applyAlignment="1" applyProtection="1">
      <alignment vertical="center"/>
      <protection locked="0"/>
    </xf>
    <xf numFmtId="179" fontId="70" fillId="6" borderId="88" xfId="57" applyNumberFormat="1" applyFont="1" applyFill="1" applyBorder="1" applyAlignment="1" applyProtection="1">
      <alignment vertical="center" shrinkToFit="1"/>
      <protection locked="0"/>
    </xf>
    <xf numFmtId="0" fontId="71" fillId="6" borderId="88" xfId="0" applyFont="1" applyFill="1" applyBorder="1" applyAlignment="1" applyProtection="1">
      <alignment horizontal="left" vertical="center" shrinkToFit="1"/>
      <protection locked="0"/>
    </xf>
    <xf numFmtId="0" fontId="71" fillId="6" borderId="88" xfId="0" applyFont="1" applyFill="1" applyBorder="1" applyAlignment="1" applyProtection="1">
      <alignment horizontal="left" vertical="center"/>
      <protection locked="0"/>
    </xf>
    <xf numFmtId="0" fontId="7" fillId="6" borderId="173" xfId="0" applyFont="1" applyFill="1" applyBorder="1" applyAlignment="1" applyProtection="1">
      <alignment horizontal="center" vertical="center" shrinkToFit="1"/>
      <protection locked="0"/>
    </xf>
    <xf numFmtId="0" fontId="22" fillId="6" borderId="88" xfId="0" applyFont="1" applyFill="1" applyBorder="1" applyAlignment="1">
      <alignment horizontal="left" vertical="center"/>
    </xf>
    <xf numFmtId="0" fontId="7" fillId="6" borderId="92" xfId="0" applyFont="1" applyFill="1" applyBorder="1" applyAlignment="1" applyProtection="1">
      <alignment horizontal="left" vertical="center" shrinkToFit="1"/>
      <protection/>
    </xf>
    <xf numFmtId="6" fontId="7" fillId="6" borderId="92" xfId="57" applyFont="1" applyFill="1" applyBorder="1" applyAlignment="1" applyProtection="1">
      <alignment horizontal="right" vertical="center" shrinkToFit="1"/>
      <protection/>
    </xf>
    <xf numFmtId="183" fontId="7" fillId="6" borderId="92" xfId="0" applyNumberFormat="1" applyFont="1" applyFill="1" applyBorder="1" applyAlignment="1" applyProtection="1">
      <alignment horizontal="right" vertical="center" shrinkToFit="1"/>
      <protection/>
    </xf>
    <xf numFmtId="0" fontId="7" fillId="6" borderId="100" xfId="0" applyFont="1" applyFill="1" applyBorder="1" applyAlignment="1" applyProtection="1">
      <alignment horizontal="left" vertical="center" shrinkToFit="1"/>
      <protection locked="0"/>
    </xf>
    <xf numFmtId="0" fontId="7" fillId="6" borderId="149" xfId="0" applyFont="1" applyFill="1" applyBorder="1" applyAlignment="1" applyProtection="1">
      <alignment horizontal="left" vertical="center" shrinkToFit="1"/>
      <protection locked="0"/>
    </xf>
    <xf numFmtId="0" fontId="22" fillId="6" borderId="93" xfId="0" applyFont="1" applyFill="1" applyBorder="1" applyAlignment="1">
      <alignment horizontal="left" vertical="center"/>
    </xf>
    <xf numFmtId="6" fontId="7" fillId="0" borderId="149" xfId="57" applyFont="1" applyBorder="1" applyAlignment="1" applyProtection="1">
      <alignment horizontal="right" vertical="center" shrinkToFit="1"/>
      <protection/>
    </xf>
    <xf numFmtId="0" fontId="7" fillId="6" borderId="174"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5" fontId="0" fillId="0" borderId="57" xfId="0" applyNumberFormat="1" applyFill="1" applyBorder="1" applyAlignment="1" applyProtection="1">
      <alignment horizontal="left" vertical="center" shrinkToFit="1"/>
      <protection/>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0"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8"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1">
    <dxf>
      <font>
        <strike val="0"/>
        <color theme="0"/>
      </font>
    </dxf>
    <dxf>
      <font>
        <strike val="0"/>
        <color theme="0"/>
      </font>
    </dxf>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35" t="s">
        <v>279</v>
      </c>
      <c r="I1" s="535"/>
      <c r="J1" s="535"/>
      <c r="K1" s="535"/>
    </row>
    <row r="2" spans="2:11" s="1" customFormat="1" ht="18" customHeight="1">
      <c r="B2" s="147"/>
      <c r="H2" s="535" t="s">
        <v>280</v>
      </c>
      <c r="I2" s="535"/>
      <c r="J2" s="535"/>
      <c r="K2" s="535"/>
    </row>
    <row r="3" spans="2:11" s="1" customFormat="1" ht="18" customHeight="1">
      <c r="B3" s="147"/>
      <c r="K3" s="2"/>
    </row>
    <row r="4" spans="2:11" s="1" customFormat="1" ht="18" customHeight="1">
      <c r="B4" s="147"/>
      <c r="H4" s="536" t="s">
        <v>401</v>
      </c>
      <c r="I4" s="536"/>
      <c r="J4" s="536"/>
      <c r="K4" s="536"/>
    </row>
    <row r="5" spans="2:11" s="1" customFormat="1" ht="18" customHeight="1">
      <c r="B5" s="147"/>
      <c r="H5" s="537">
        <v>43202</v>
      </c>
      <c r="I5" s="536"/>
      <c r="J5" s="536"/>
      <c r="K5" s="536"/>
    </row>
    <row r="6" spans="1:11" s="1" customFormat="1" ht="18" customHeight="1">
      <c r="A6" s="3" t="s">
        <v>2</v>
      </c>
      <c r="B6" s="147"/>
      <c r="H6" s="4"/>
      <c r="K6" s="11"/>
    </row>
    <row r="7" spans="1:11" s="1" customFormat="1" ht="18" customHeight="1">
      <c r="A7" s="4"/>
      <c r="B7" s="147"/>
      <c r="H7" s="538"/>
      <c r="I7" s="538"/>
      <c r="J7" s="538"/>
      <c r="K7" s="538"/>
    </row>
    <row r="8" spans="1:11" s="1" customFormat="1" ht="18" customHeight="1">
      <c r="A8" s="4"/>
      <c r="B8" s="147"/>
      <c r="H8" s="538" t="s">
        <v>278</v>
      </c>
      <c r="I8" s="538"/>
      <c r="J8" s="538"/>
      <c r="K8" s="538"/>
    </row>
    <row r="9" spans="1:11" s="1" customFormat="1" ht="42" customHeight="1">
      <c r="A9" s="4"/>
      <c r="B9" s="147"/>
      <c r="H9" s="2"/>
      <c r="K9" s="46"/>
    </row>
    <row r="10" spans="1:11" s="5" customFormat="1" ht="24" customHeight="1">
      <c r="A10" s="539" t="s">
        <v>402</v>
      </c>
      <c r="B10" s="539"/>
      <c r="C10" s="539"/>
      <c r="D10" s="539"/>
      <c r="E10" s="539"/>
      <c r="F10" s="539"/>
      <c r="G10" s="539"/>
      <c r="H10" s="539"/>
      <c r="I10" s="539"/>
      <c r="J10" s="539"/>
      <c r="K10" s="539"/>
    </row>
    <row r="11" spans="1:11" s="5" customFormat="1" ht="24" customHeight="1">
      <c r="A11" s="540"/>
      <c r="B11" s="540"/>
      <c r="C11" s="540"/>
      <c r="D11" s="540"/>
      <c r="E11" s="540"/>
      <c r="F11" s="540"/>
      <c r="G11" s="540"/>
      <c r="H11" s="540"/>
      <c r="I11" s="540"/>
      <c r="J11" s="540"/>
      <c r="K11" s="540"/>
    </row>
    <row r="12" spans="1:11" s="5" customFormat="1" ht="24" customHeight="1">
      <c r="A12" s="14" t="s">
        <v>403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41" t="s">
        <v>223</v>
      </c>
      <c r="B14" s="542"/>
      <c r="C14" s="543"/>
      <c r="D14" s="544">
        <f>'1-1'!D14:F14</f>
        <v>1190000</v>
      </c>
      <c r="E14" s="545"/>
      <c r="F14" s="546"/>
      <c r="G14" s="525" t="s">
        <v>1</v>
      </c>
      <c r="H14" s="526"/>
      <c r="I14" s="527" t="s">
        <v>400</v>
      </c>
      <c r="J14" s="528"/>
      <c r="K14" s="529"/>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'3-2'!K50</f>
        <v>94000</v>
      </c>
      <c r="C16" s="221">
        <f>'3-2'!K51</f>
        <v>4240</v>
      </c>
      <c r="D16" s="221">
        <f>'3-2'!K52</f>
        <v>874938.2000000001</v>
      </c>
      <c r="E16" s="221">
        <f>'3-2'!K53</f>
        <v>0</v>
      </c>
      <c r="F16" s="221">
        <f>'3-2'!K54</f>
        <v>0</v>
      </c>
      <c r="G16" s="221">
        <f>'3-2'!K55</f>
        <v>0</v>
      </c>
      <c r="H16" s="221">
        <f>'3-2'!K56</f>
        <v>0</v>
      </c>
      <c r="I16" s="221">
        <f>'3-2'!K57</f>
        <v>0</v>
      </c>
      <c r="J16" s="222">
        <f>'3-2'!K58</f>
        <v>92290</v>
      </c>
      <c r="K16" s="223">
        <f>SUM(B16:J16)</f>
        <v>1065468.2000000002</v>
      </c>
    </row>
    <row r="17" spans="6:7" ht="24" customHeight="1" thickBot="1">
      <c r="F17" s="12"/>
      <c r="G17" s="12"/>
    </row>
    <row r="18" spans="1:11" ht="24" customHeight="1" thickBot="1">
      <c r="A18" s="145" t="s">
        <v>141</v>
      </c>
      <c r="B18" s="530" t="s">
        <v>142</v>
      </c>
      <c r="C18" s="531"/>
      <c r="D18" s="530" t="s">
        <v>224</v>
      </c>
      <c r="E18" s="532"/>
      <c r="F18" s="531" t="s">
        <v>219</v>
      </c>
      <c r="G18" s="531"/>
      <c r="H18" s="531"/>
      <c r="I18" s="531"/>
      <c r="J18" s="532"/>
      <c r="K18" s="146" t="s">
        <v>140</v>
      </c>
    </row>
    <row r="19" spans="1:11" ht="48" customHeight="1">
      <c r="A19" s="150">
        <v>1</v>
      </c>
      <c r="B19" s="533" t="s">
        <v>392</v>
      </c>
      <c r="C19" s="534"/>
      <c r="D19" s="521" t="s">
        <v>286</v>
      </c>
      <c r="E19" s="522"/>
      <c r="F19" s="524" t="s">
        <v>399</v>
      </c>
      <c r="G19" s="524"/>
      <c r="H19" s="524"/>
      <c r="I19" s="524"/>
      <c r="J19" s="522"/>
      <c r="K19" s="469" t="s">
        <v>393</v>
      </c>
    </row>
    <row r="20" spans="1:11" ht="48" customHeight="1">
      <c r="A20" s="151">
        <v>2</v>
      </c>
      <c r="B20" s="516" t="s">
        <v>394</v>
      </c>
      <c r="C20" s="517"/>
      <c r="D20" s="519" t="s">
        <v>283</v>
      </c>
      <c r="E20" s="520"/>
      <c r="F20" s="523" t="s">
        <v>395</v>
      </c>
      <c r="G20" s="523"/>
      <c r="H20" s="523"/>
      <c r="I20" s="523"/>
      <c r="J20" s="520"/>
      <c r="K20" s="469" t="s">
        <v>393</v>
      </c>
    </row>
    <row r="21" spans="1:11" ht="48" customHeight="1">
      <c r="A21" s="151"/>
      <c r="B21" s="516"/>
      <c r="C21" s="517"/>
      <c r="D21" s="519"/>
      <c r="E21" s="520"/>
      <c r="F21" s="523"/>
      <c r="G21" s="523"/>
      <c r="H21" s="523"/>
      <c r="I21" s="523"/>
      <c r="J21" s="520"/>
      <c r="K21" s="469"/>
    </row>
    <row r="22" spans="1:11" ht="48" customHeight="1">
      <c r="A22" s="151"/>
      <c r="B22" s="516"/>
      <c r="C22" s="517"/>
      <c r="D22" s="519"/>
      <c r="E22" s="520"/>
      <c r="F22" s="523"/>
      <c r="G22" s="523"/>
      <c r="H22" s="523"/>
      <c r="I22" s="523"/>
      <c r="J22" s="520"/>
      <c r="K22" s="469"/>
    </row>
    <row r="23" spans="1:11" ht="48" customHeight="1">
      <c r="A23" s="151"/>
      <c r="B23" s="516"/>
      <c r="C23" s="517"/>
      <c r="D23" s="519"/>
      <c r="E23" s="520"/>
      <c r="F23" s="523"/>
      <c r="G23" s="523"/>
      <c r="H23" s="523"/>
      <c r="I23" s="523"/>
      <c r="J23" s="520"/>
      <c r="K23" s="469"/>
    </row>
    <row r="24" spans="1:11" ht="48" customHeight="1">
      <c r="A24" s="151"/>
      <c r="B24" s="516"/>
      <c r="C24" s="517"/>
      <c r="D24" s="519"/>
      <c r="E24" s="520"/>
      <c r="F24" s="523"/>
      <c r="G24" s="523"/>
      <c r="H24" s="523"/>
      <c r="I24" s="523"/>
      <c r="J24" s="520"/>
      <c r="K24" s="469"/>
    </row>
    <row r="25" spans="1:11" ht="48" customHeight="1">
      <c r="A25" s="151"/>
      <c r="B25" s="516"/>
      <c r="C25" s="518"/>
      <c r="D25" s="519"/>
      <c r="E25" s="520"/>
      <c r="F25" s="523"/>
      <c r="G25" s="523"/>
      <c r="H25" s="523"/>
      <c r="I25" s="523"/>
      <c r="J25" s="520"/>
      <c r="K25" s="469"/>
    </row>
    <row r="26" spans="1:11" ht="48" customHeight="1">
      <c r="A26" s="151"/>
      <c r="B26" s="516"/>
      <c r="C26" s="518"/>
      <c r="D26" s="519"/>
      <c r="E26" s="520"/>
      <c r="F26" s="523"/>
      <c r="G26" s="523"/>
      <c r="H26" s="523"/>
      <c r="I26" s="523"/>
      <c r="J26" s="520"/>
      <c r="K26" s="469"/>
    </row>
    <row r="27" spans="1:11" ht="48" customHeight="1">
      <c r="A27" s="151"/>
      <c r="B27" s="516"/>
      <c r="C27" s="517"/>
      <c r="D27" s="519"/>
      <c r="E27" s="520"/>
      <c r="F27" s="523"/>
      <c r="G27" s="523"/>
      <c r="H27" s="523"/>
      <c r="I27" s="523"/>
      <c r="J27" s="520"/>
      <c r="K27" s="469"/>
    </row>
    <row r="28" spans="1:11" ht="48" customHeight="1">
      <c r="A28" s="151"/>
      <c r="B28" s="516"/>
      <c r="C28" s="517"/>
      <c r="D28" s="519"/>
      <c r="E28" s="520"/>
      <c r="F28" s="523"/>
      <c r="G28" s="523"/>
      <c r="H28" s="523"/>
      <c r="I28" s="523"/>
      <c r="J28" s="520"/>
      <c r="K28" s="469"/>
    </row>
    <row r="29" spans="1:11" ht="48" customHeight="1" thickBot="1">
      <c r="A29" s="152"/>
      <c r="B29" s="514"/>
      <c r="C29" s="515"/>
      <c r="D29" s="547"/>
      <c r="E29" s="548"/>
      <c r="F29" s="549"/>
      <c r="G29" s="549"/>
      <c r="H29" s="549"/>
      <c r="I29" s="549"/>
      <c r="J29" s="548"/>
      <c r="K29" s="512"/>
    </row>
    <row r="30" spans="1:11" ht="48" customHeight="1">
      <c r="A30" s="511"/>
      <c r="B30" s="552"/>
      <c r="C30" s="553"/>
      <c r="D30" s="554"/>
      <c r="E30" s="551"/>
      <c r="F30" s="550"/>
      <c r="G30" s="550"/>
      <c r="H30" s="550"/>
      <c r="I30" s="550"/>
      <c r="J30" s="551"/>
      <c r="K30" s="469"/>
    </row>
    <row r="31" spans="1:11" ht="48" customHeight="1">
      <c r="A31" s="158"/>
      <c r="B31" s="516"/>
      <c r="C31" s="518"/>
      <c r="D31" s="519"/>
      <c r="E31" s="520"/>
      <c r="F31" s="523"/>
      <c r="G31" s="523"/>
      <c r="H31" s="523"/>
      <c r="I31" s="523"/>
      <c r="J31" s="520"/>
      <c r="K31" s="469"/>
    </row>
    <row r="32" spans="1:11" ht="48" customHeight="1">
      <c r="A32" s="158"/>
      <c r="B32" s="516"/>
      <c r="C32" s="518"/>
      <c r="D32" s="519"/>
      <c r="E32" s="520"/>
      <c r="F32" s="523"/>
      <c r="G32" s="523"/>
      <c r="H32" s="523"/>
      <c r="I32" s="523"/>
      <c r="J32" s="520"/>
      <c r="K32" s="469"/>
    </row>
    <row r="33" spans="1:11" ht="48" customHeight="1">
      <c r="A33" s="158"/>
      <c r="B33" s="516"/>
      <c r="C33" s="518"/>
      <c r="D33" s="519"/>
      <c r="E33" s="520"/>
      <c r="F33" s="523"/>
      <c r="G33" s="523"/>
      <c r="H33" s="523"/>
      <c r="I33" s="523"/>
      <c r="J33" s="520"/>
      <c r="K33" s="469"/>
    </row>
    <row r="34" spans="1:11" ht="48" customHeight="1">
      <c r="A34" s="158"/>
      <c r="B34" s="516"/>
      <c r="C34" s="518"/>
      <c r="D34" s="519"/>
      <c r="E34" s="520"/>
      <c r="F34" s="523"/>
      <c r="G34" s="523"/>
      <c r="H34" s="523"/>
      <c r="I34" s="523"/>
      <c r="J34" s="520"/>
      <c r="K34" s="469"/>
    </row>
    <row r="35" spans="1:11" ht="48" customHeight="1" thickBot="1">
      <c r="A35" s="152"/>
      <c r="B35" s="514"/>
      <c r="C35" s="515"/>
      <c r="D35" s="547"/>
      <c r="E35" s="548"/>
      <c r="F35" s="549"/>
      <c r="G35" s="549"/>
      <c r="H35" s="549"/>
      <c r="I35" s="549"/>
      <c r="J35" s="548"/>
      <c r="K35" s="469"/>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30"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4" sqref="G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300" t="s">
        <v>142</v>
      </c>
      <c r="C3" s="59" t="s">
        <v>144</v>
      </c>
      <c r="D3" s="96" t="s">
        <v>146</v>
      </c>
      <c r="E3" s="96" t="s">
        <v>0</v>
      </c>
      <c r="F3" s="96" t="s">
        <v>197</v>
      </c>
      <c r="G3" s="96" t="s">
        <v>91</v>
      </c>
      <c r="H3" s="470" t="s">
        <v>246</v>
      </c>
      <c r="I3" s="96" t="s">
        <v>92</v>
      </c>
      <c r="J3" s="96" t="s">
        <v>93</v>
      </c>
      <c r="K3" s="228" t="s">
        <v>111</v>
      </c>
      <c r="L3" s="296" t="s">
        <v>94</v>
      </c>
      <c r="M3" s="29" t="s">
        <v>99</v>
      </c>
    </row>
    <row r="4" spans="1:13" ht="13.5" customHeight="1">
      <c r="A4" s="361"/>
      <c r="B4" s="253" t="s">
        <v>284</v>
      </c>
      <c r="C4" s="254" t="s">
        <v>286</v>
      </c>
      <c r="D4" s="244">
        <v>301</v>
      </c>
      <c r="E4" s="245" t="s">
        <v>138</v>
      </c>
      <c r="F4" s="246" t="s">
        <v>225</v>
      </c>
      <c r="G4" s="486">
        <v>31920</v>
      </c>
      <c r="H4" s="492">
        <v>1</v>
      </c>
      <c r="I4" s="248">
        <v>1</v>
      </c>
      <c r="J4" s="249">
        <f>G4*H4*I4</f>
        <v>31920</v>
      </c>
      <c r="K4" s="250"/>
      <c r="L4" s="251" t="s">
        <v>227</v>
      </c>
      <c r="M4" s="29">
        <f aca="true" t="shared" si="0" ref="M4:M67">IF(K4="◎",J4,"")</f>
      </c>
    </row>
    <row r="5" spans="1:13" ht="14.25">
      <c r="A5" s="252"/>
      <c r="B5" s="253" t="s">
        <v>284</v>
      </c>
      <c r="C5" s="254" t="s">
        <v>286</v>
      </c>
      <c r="D5" s="255">
        <v>302</v>
      </c>
      <c r="E5" s="256" t="s">
        <v>138</v>
      </c>
      <c r="F5" s="257" t="s">
        <v>304</v>
      </c>
      <c r="G5" s="487">
        <v>8000</v>
      </c>
      <c r="H5" s="491">
        <v>1</v>
      </c>
      <c r="I5" s="259">
        <v>1</v>
      </c>
      <c r="J5" s="260">
        <f>G5*H5*I5</f>
        <v>8000</v>
      </c>
      <c r="K5" s="261"/>
      <c r="L5" s="262"/>
      <c r="M5" s="29">
        <f t="shared" si="0"/>
      </c>
    </row>
    <row r="6" spans="1:13" ht="25.5">
      <c r="A6" s="252"/>
      <c r="B6" s="253" t="s">
        <v>281</v>
      </c>
      <c r="C6" s="254" t="s">
        <v>283</v>
      </c>
      <c r="D6" s="255">
        <v>303</v>
      </c>
      <c r="E6" s="256" t="s">
        <v>85</v>
      </c>
      <c r="F6" s="276" t="s">
        <v>308</v>
      </c>
      <c r="G6" s="487">
        <v>51000</v>
      </c>
      <c r="H6" s="491">
        <v>1</v>
      </c>
      <c r="I6" s="259">
        <v>1</v>
      </c>
      <c r="J6" s="260">
        <f aca="true" t="shared" si="1" ref="J6:J69">G6*H6*I6</f>
        <v>51000</v>
      </c>
      <c r="K6" s="261"/>
      <c r="L6" s="262"/>
      <c r="M6" s="29">
        <f t="shared" si="0"/>
      </c>
    </row>
    <row r="7" spans="1:13" ht="25.5">
      <c r="A7" s="252"/>
      <c r="B7" s="253" t="s">
        <v>281</v>
      </c>
      <c r="C7" s="254" t="s">
        <v>283</v>
      </c>
      <c r="D7" s="255">
        <v>304</v>
      </c>
      <c r="E7" s="256" t="s">
        <v>86</v>
      </c>
      <c r="F7" s="257" t="s">
        <v>306</v>
      </c>
      <c r="G7" s="487">
        <v>9950</v>
      </c>
      <c r="H7" s="491">
        <v>1</v>
      </c>
      <c r="I7" s="259">
        <v>1</v>
      </c>
      <c r="J7" s="260">
        <f t="shared" si="1"/>
        <v>9950</v>
      </c>
      <c r="K7" s="261"/>
      <c r="L7" s="262"/>
      <c r="M7" s="29">
        <f t="shared" si="0"/>
      </c>
    </row>
    <row r="8" spans="1:13" ht="14.25">
      <c r="A8" s="252"/>
      <c r="B8" s="253" t="s">
        <v>284</v>
      </c>
      <c r="C8" s="254" t="s">
        <v>309</v>
      </c>
      <c r="D8" s="255">
        <v>305</v>
      </c>
      <c r="E8" s="256" t="s">
        <v>90</v>
      </c>
      <c r="F8" s="256" t="s">
        <v>311</v>
      </c>
      <c r="G8" s="488">
        <v>117720</v>
      </c>
      <c r="H8" s="491">
        <v>1</v>
      </c>
      <c r="I8" s="259">
        <v>1</v>
      </c>
      <c r="J8" s="260">
        <f t="shared" si="1"/>
        <v>117720</v>
      </c>
      <c r="K8" s="261"/>
      <c r="L8" s="262"/>
      <c r="M8" s="29">
        <f t="shared" si="0"/>
      </c>
    </row>
    <row r="9" spans="1:13" ht="14.25">
      <c r="A9" s="252"/>
      <c r="B9" s="253" t="s">
        <v>284</v>
      </c>
      <c r="C9" s="254" t="s">
        <v>310</v>
      </c>
      <c r="D9" s="255">
        <v>306</v>
      </c>
      <c r="E9" s="256" t="s">
        <v>125</v>
      </c>
      <c r="F9" s="256" t="s">
        <v>312</v>
      </c>
      <c r="G9" s="487">
        <v>5600</v>
      </c>
      <c r="H9" s="491">
        <v>9</v>
      </c>
      <c r="I9" s="259">
        <v>1</v>
      </c>
      <c r="J9" s="260">
        <f t="shared" si="1"/>
        <v>50400</v>
      </c>
      <c r="K9" s="261"/>
      <c r="L9" s="262"/>
      <c r="M9" s="29">
        <f t="shared" si="0"/>
      </c>
    </row>
    <row r="10" spans="1:13" ht="14.25">
      <c r="A10" s="252"/>
      <c r="B10" s="253" t="s">
        <v>284</v>
      </c>
      <c r="C10" s="254" t="s">
        <v>310</v>
      </c>
      <c r="D10" s="255">
        <v>307</v>
      </c>
      <c r="E10" s="256" t="s">
        <v>125</v>
      </c>
      <c r="F10" s="256" t="s">
        <v>313</v>
      </c>
      <c r="G10" s="487">
        <v>2635</v>
      </c>
      <c r="H10" s="491">
        <v>18</v>
      </c>
      <c r="I10" s="259">
        <v>1</v>
      </c>
      <c r="J10" s="260">
        <f t="shared" si="1"/>
        <v>47430</v>
      </c>
      <c r="K10" s="261"/>
      <c r="L10" s="262"/>
      <c r="M10" s="29">
        <f t="shared" si="0"/>
      </c>
    </row>
    <row r="11" spans="1:13" ht="13.5" customHeight="1">
      <c r="A11" s="252"/>
      <c r="B11" s="253" t="s">
        <v>284</v>
      </c>
      <c r="C11" s="254" t="s">
        <v>286</v>
      </c>
      <c r="D11" s="255">
        <v>308</v>
      </c>
      <c r="E11" s="256" t="s">
        <v>125</v>
      </c>
      <c r="F11" s="479" t="s">
        <v>314</v>
      </c>
      <c r="G11" s="495">
        <v>2720</v>
      </c>
      <c r="H11" s="497">
        <v>7</v>
      </c>
      <c r="I11" s="259">
        <v>1</v>
      </c>
      <c r="J11" s="260">
        <f t="shared" si="1"/>
        <v>19040</v>
      </c>
      <c r="K11" s="268"/>
      <c r="L11" s="269"/>
      <c r="M11" s="29">
        <f t="shared" si="0"/>
      </c>
    </row>
    <row r="12" spans="1:13" ht="14.25">
      <c r="A12" s="252"/>
      <c r="B12" s="253" t="s">
        <v>284</v>
      </c>
      <c r="C12" s="254" t="s">
        <v>286</v>
      </c>
      <c r="D12" s="255">
        <v>309</v>
      </c>
      <c r="E12" s="256" t="s">
        <v>125</v>
      </c>
      <c r="F12" s="479" t="s">
        <v>315</v>
      </c>
      <c r="G12" s="495">
        <v>1040</v>
      </c>
      <c r="H12" s="497">
        <v>1</v>
      </c>
      <c r="I12" s="259">
        <v>1</v>
      </c>
      <c r="J12" s="260">
        <f t="shared" si="1"/>
        <v>1040</v>
      </c>
      <c r="K12" s="272"/>
      <c r="L12" s="273"/>
      <c r="M12" s="29">
        <f t="shared" si="0"/>
      </c>
    </row>
    <row r="13" spans="1:13" ht="14.25">
      <c r="A13" s="252"/>
      <c r="B13" s="253" t="s">
        <v>284</v>
      </c>
      <c r="C13" s="254" t="s">
        <v>286</v>
      </c>
      <c r="D13" s="255">
        <v>310</v>
      </c>
      <c r="E13" s="256" t="s">
        <v>125</v>
      </c>
      <c r="F13" s="479" t="s">
        <v>316</v>
      </c>
      <c r="G13" s="495">
        <v>13760</v>
      </c>
      <c r="H13" s="497">
        <v>5</v>
      </c>
      <c r="I13" s="259">
        <v>1</v>
      </c>
      <c r="J13" s="260">
        <f t="shared" si="1"/>
        <v>68800</v>
      </c>
      <c r="K13" s="261"/>
      <c r="L13" s="262"/>
      <c r="M13" s="29">
        <f t="shared" si="0"/>
      </c>
    </row>
    <row r="14" spans="1:13" ht="13.5" customHeight="1">
      <c r="A14" s="252"/>
      <c r="B14" s="253" t="s">
        <v>284</v>
      </c>
      <c r="C14" s="254" t="s">
        <v>286</v>
      </c>
      <c r="D14" s="255">
        <v>311</v>
      </c>
      <c r="E14" s="256" t="s">
        <v>125</v>
      </c>
      <c r="F14" s="479" t="s">
        <v>317</v>
      </c>
      <c r="G14" s="495">
        <v>20800</v>
      </c>
      <c r="H14" s="497">
        <v>1</v>
      </c>
      <c r="I14" s="259">
        <v>1</v>
      </c>
      <c r="J14" s="260">
        <f t="shared" si="1"/>
        <v>20800</v>
      </c>
      <c r="K14" s="275"/>
      <c r="L14" s="262"/>
      <c r="M14" s="29">
        <f t="shared" si="0"/>
      </c>
    </row>
    <row r="15" spans="1:13" ht="14.25">
      <c r="A15" s="252"/>
      <c r="B15" s="253" t="s">
        <v>284</v>
      </c>
      <c r="C15" s="254" t="s">
        <v>286</v>
      </c>
      <c r="D15" s="255">
        <v>312</v>
      </c>
      <c r="E15" s="256" t="s">
        <v>125</v>
      </c>
      <c r="F15" s="479" t="s">
        <v>318</v>
      </c>
      <c r="G15" s="495">
        <v>4160</v>
      </c>
      <c r="H15" s="497">
        <v>5</v>
      </c>
      <c r="I15" s="259">
        <v>1</v>
      </c>
      <c r="J15" s="260">
        <f t="shared" si="1"/>
        <v>20800</v>
      </c>
      <c r="K15" s="279"/>
      <c r="L15" s="280"/>
      <c r="M15" s="29">
        <f t="shared" si="0"/>
      </c>
    </row>
    <row r="16" spans="1:13" ht="28.5">
      <c r="A16" s="252"/>
      <c r="B16" s="253" t="s">
        <v>284</v>
      </c>
      <c r="C16" s="254" t="s">
        <v>286</v>
      </c>
      <c r="D16" s="255">
        <v>313</v>
      </c>
      <c r="E16" s="256" t="s">
        <v>125</v>
      </c>
      <c r="F16" s="480" t="s">
        <v>319</v>
      </c>
      <c r="G16" s="495">
        <v>2944</v>
      </c>
      <c r="H16" s="497">
        <v>1</v>
      </c>
      <c r="I16" s="259">
        <v>1</v>
      </c>
      <c r="J16" s="260">
        <f t="shared" si="1"/>
        <v>2944</v>
      </c>
      <c r="K16" s="261"/>
      <c r="L16" s="262"/>
      <c r="M16" s="29">
        <f t="shared" si="0"/>
      </c>
    </row>
    <row r="17" spans="1:13" ht="14.25">
      <c r="A17" s="252"/>
      <c r="B17" s="253" t="s">
        <v>284</v>
      </c>
      <c r="C17" s="254" t="s">
        <v>286</v>
      </c>
      <c r="D17" s="255">
        <v>314</v>
      </c>
      <c r="E17" s="256" t="s">
        <v>125</v>
      </c>
      <c r="F17" s="479" t="s">
        <v>320</v>
      </c>
      <c r="G17" s="495">
        <v>895</v>
      </c>
      <c r="H17" s="497">
        <v>1</v>
      </c>
      <c r="I17" s="259">
        <v>1</v>
      </c>
      <c r="J17" s="260">
        <f t="shared" si="1"/>
        <v>895</v>
      </c>
      <c r="K17" s="261"/>
      <c r="L17" s="262"/>
      <c r="M17" s="29">
        <f t="shared" si="0"/>
      </c>
    </row>
    <row r="18" spans="1:13" ht="14.25">
      <c r="A18" s="252"/>
      <c r="B18" s="253" t="s">
        <v>284</v>
      </c>
      <c r="C18" s="254" t="s">
        <v>286</v>
      </c>
      <c r="D18" s="255">
        <v>315</v>
      </c>
      <c r="E18" s="256" t="s">
        <v>125</v>
      </c>
      <c r="F18" s="479" t="s">
        <v>321</v>
      </c>
      <c r="G18" s="495">
        <v>1584</v>
      </c>
      <c r="H18" s="497">
        <v>4</v>
      </c>
      <c r="I18" s="259">
        <v>1</v>
      </c>
      <c r="J18" s="260">
        <f t="shared" si="1"/>
        <v>6336</v>
      </c>
      <c r="K18" s="261"/>
      <c r="L18" s="262"/>
      <c r="M18" s="29">
        <f t="shared" si="0"/>
      </c>
    </row>
    <row r="19" spans="1:13" ht="14.25">
      <c r="A19" s="252"/>
      <c r="B19" s="253" t="s">
        <v>284</v>
      </c>
      <c r="C19" s="254" t="s">
        <v>286</v>
      </c>
      <c r="D19" s="255">
        <v>316</v>
      </c>
      <c r="E19" s="256" t="s">
        <v>125</v>
      </c>
      <c r="F19" s="479" t="s">
        <v>322</v>
      </c>
      <c r="G19" s="495">
        <v>2747</v>
      </c>
      <c r="H19" s="497">
        <v>2</v>
      </c>
      <c r="I19" s="259">
        <v>1</v>
      </c>
      <c r="J19" s="260">
        <f t="shared" si="1"/>
        <v>5494</v>
      </c>
      <c r="K19" s="261"/>
      <c r="L19" s="262"/>
      <c r="M19" s="29">
        <f t="shared" si="0"/>
      </c>
    </row>
    <row r="20" spans="1:13" ht="14.25">
      <c r="A20" s="252"/>
      <c r="B20" s="253" t="s">
        <v>284</v>
      </c>
      <c r="C20" s="254" t="s">
        <v>286</v>
      </c>
      <c r="D20" s="255">
        <v>317</v>
      </c>
      <c r="E20" s="256" t="s">
        <v>125</v>
      </c>
      <c r="F20" s="480" t="s">
        <v>323</v>
      </c>
      <c r="G20" s="495">
        <v>17600</v>
      </c>
      <c r="H20" s="497">
        <v>1</v>
      </c>
      <c r="I20" s="259">
        <v>1</v>
      </c>
      <c r="J20" s="260">
        <f t="shared" si="1"/>
        <v>17600</v>
      </c>
      <c r="K20" s="261"/>
      <c r="L20" s="262"/>
      <c r="M20" s="29">
        <f t="shared" si="0"/>
      </c>
    </row>
    <row r="21" spans="1:13" ht="14.25">
      <c r="A21" s="252"/>
      <c r="B21" s="253" t="s">
        <v>284</v>
      </c>
      <c r="C21" s="254" t="s">
        <v>286</v>
      </c>
      <c r="D21" s="255">
        <v>318</v>
      </c>
      <c r="E21" s="256" t="s">
        <v>125</v>
      </c>
      <c r="F21" s="480" t="s">
        <v>324</v>
      </c>
      <c r="G21" s="495">
        <v>25600</v>
      </c>
      <c r="H21" s="497">
        <v>1</v>
      </c>
      <c r="I21" s="259">
        <v>1</v>
      </c>
      <c r="J21" s="260">
        <f t="shared" si="1"/>
        <v>25600</v>
      </c>
      <c r="K21" s="261"/>
      <c r="L21" s="262"/>
      <c r="M21" s="29">
        <f t="shared" si="0"/>
      </c>
    </row>
    <row r="22" spans="1:13" ht="14.25">
      <c r="A22" s="252"/>
      <c r="B22" s="253" t="s">
        <v>284</v>
      </c>
      <c r="C22" s="254" t="s">
        <v>286</v>
      </c>
      <c r="D22" s="255">
        <v>319</v>
      </c>
      <c r="E22" s="256" t="s">
        <v>125</v>
      </c>
      <c r="F22" s="480" t="s">
        <v>325</v>
      </c>
      <c r="G22" s="495">
        <v>6800</v>
      </c>
      <c r="H22" s="497">
        <v>1</v>
      </c>
      <c r="I22" s="259">
        <v>1</v>
      </c>
      <c r="J22" s="260">
        <f t="shared" si="1"/>
        <v>6800</v>
      </c>
      <c r="K22" s="261"/>
      <c r="L22" s="262"/>
      <c r="M22" s="29">
        <f t="shared" si="0"/>
      </c>
    </row>
    <row r="23" spans="1:13" ht="14.25">
      <c r="A23" s="252"/>
      <c r="B23" s="253" t="s">
        <v>284</v>
      </c>
      <c r="C23" s="254" t="s">
        <v>286</v>
      </c>
      <c r="D23" s="255">
        <v>320</v>
      </c>
      <c r="E23" s="256" t="s">
        <v>125</v>
      </c>
      <c r="F23" s="479" t="s">
        <v>326</v>
      </c>
      <c r="G23" s="495">
        <v>720</v>
      </c>
      <c r="H23" s="497">
        <v>1</v>
      </c>
      <c r="I23" s="259">
        <v>1</v>
      </c>
      <c r="J23" s="260">
        <f t="shared" si="1"/>
        <v>720</v>
      </c>
      <c r="K23" s="261"/>
      <c r="L23" s="262"/>
      <c r="M23" s="29">
        <f t="shared" si="0"/>
      </c>
    </row>
    <row r="24" spans="1:13" ht="14.25">
      <c r="A24" s="252"/>
      <c r="B24" s="253" t="s">
        <v>284</v>
      </c>
      <c r="C24" s="254" t="s">
        <v>286</v>
      </c>
      <c r="D24" s="255">
        <v>321</v>
      </c>
      <c r="E24" s="256" t="s">
        <v>125</v>
      </c>
      <c r="F24" s="479" t="s">
        <v>327</v>
      </c>
      <c r="G24" s="495">
        <v>790</v>
      </c>
      <c r="H24" s="497">
        <v>5</v>
      </c>
      <c r="I24" s="259">
        <v>1</v>
      </c>
      <c r="J24" s="260">
        <f t="shared" si="1"/>
        <v>3950</v>
      </c>
      <c r="K24" s="261"/>
      <c r="L24" s="262"/>
      <c r="M24" s="29">
        <f t="shared" si="0"/>
      </c>
    </row>
    <row r="25" spans="1:13" ht="14.25">
      <c r="A25" s="252"/>
      <c r="B25" s="253" t="s">
        <v>284</v>
      </c>
      <c r="C25" s="254" t="s">
        <v>286</v>
      </c>
      <c r="D25" s="255">
        <v>322</v>
      </c>
      <c r="E25" s="256" t="s">
        <v>125</v>
      </c>
      <c r="F25" s="479" t="s">
        <v>327</v>
      </c>
      <c r="G25" s="495">
        <v>1104</v>
      </c>
      <c r="H25" s="497">
        <v>3</v>
      </c>
      <c r="I25" s="259">
        <v>1</v>
      </c>
      <c r="J25" s="260">
        <f t="shared" si="1"/>
        <v>3312</v>
      </c>
      <c r="K25" s="261"/>
      <c r="L25" s="262"/>
      <c r="M25" s="29">
        <f t="shared" si="0"/>
      </c>
    </row>
    <row r="26" spans="1:13" ht="14.25">
      <c r="A26" s="252"/>
      <c r="B26" s="253" t="s">
        <v>284</v>
      </c>
      <c r="C26" s="254" t="s">
        <v>286</v>
      </c>
      <c r="D26" s="255">
        <v>323</v>
      </c>
      <c r="E26" s="256" t="s">
        <v>125</v>
      </c>
      <c r="F26" s="479" t="s">
        <v>328</v>
      </c>
      <c r="G26" s="495">
        <v>1198</v>
      </c>
      <c r="H26" s="497">
        <v>1</v>
      </c>
      <c r="I26" s="259">
        <v>1</v>
      </c>
      <c r="J26" s="260">
        <f t="shared" si="1"/>
        <v>1198</v>
      </c>
      <c r="K26" s="261"/>
      <c r="L26" s="262"/>
      <c r="M26" s="29">
        <f t="shared" si="0"/>
      </c>
    </row>
    <row r="27" spans="1:13" ht="13.5">
      <c r="A27" s="252"/>
      <c r="B27" s="253" t="s">
        <v>284</v>
      </c>
      <c r="C27" s="254" t="s">
        <v>286</v>
      </c>
      <c r="D27" s="255">
        <v>324</v>
      </c>
      <c r="E27" s="256" t="s">
        <v>125</v>
      </c>
      <c r="F27" s="481" t="s">
        <v>329</v>
      </c>
      <c r="G27" s="495">
        <v>2400</v>
      </c>
      <c r="H27" s="498">
        <v>3</v>
      </c>
      <c r="I27" s="259">
        <v>1</v>
      </c>
      <c r="J27" s="260">
        <f t="shared" si="1"/>
        <v>7200</v>
      </c>
      <c r="K27" s="261"/>
      <c r="L27" s="262"/>
      <c r="M27" s="29">
        <f t="shared" si="0"/>
      </c>
    </row>
    <row r="28" spans="1:13" ht="14.25">
      <c r="A28" s="252"/>
      <c r="B28" s="253" t="s">
        <v>284</v>
      </c>
      <c r="C28" s="254" t="s">
        <v>286</v>
      </c>
      <c r="D28" s="255">
        <v>325</v>
      </c>
      <c r="E28" s="256" t="s">
        <v>125</v>
      </c>
      <c r="F28" s="479" t="s">
        <v>330</v>
      </c>
      <c r="G28" s="495">
        <v>32000</v>
      </c>
      <c r="H28" s="497">
        <v>2</v>
      </c>
      <c r="I28" s="259">
        <v>1</v>
      </c>
      <c r="J28" s="260">
        <f t="shared" si="1"/>
        <v>64000</v>
      </c>
      <c r="K28" s="261"/>
      <c r="L28" s="262"/>
      <c r="M28" s="29">
        <f t="shared" si="0"/>
      </c>
    </row>
    <row r="29" spans="1:13" ht="14.25">
      <c r="A29" s="252"/>
      <c r="B29" s="253" t="s">
        <v>284</v>
      </c>
      <c r="C29" s="254" t="s">
        <v>286</v>
      </c>
      <c r="D29" s="255">
        <v>326</v>
      </c>
      <c r="E29" s="256" t="s">
        <v>125</v>
      </c>
      <c r="F29" s="483" t="s">
        <v>331</v>
      </c>
      <c r="G29" s="496">
        <v>14904</v>
      </c>
      <c r="H29" s="497">
        <v>3</v>
      </c>
      <c r="I29" s="259">
        <v>1</v>
      </c>
      <c r="J29" s="260">
        <f t="shared" si="1"/>
        <v>44712</v>
      </c>
      <c r="K29" s="261"/>
      <c r="L29" s="262"/>
      <c r="M29" s="29">
        <f t="shared" si="0"/>
      </c>
    </row>
    <row r="30" spans="1:13" ht="14.25">
      <c r="A30" s="252"/>
      <c r="B30" s="253" t="s">
        <v>284</v>
      </c>
      <c r="C30" s="254" t="s">
        <v>286</v>
      </c>
      <c r="D30" s="255">
        <v>327</v>
      </c>
      <c r="E30" s="256" t="s">
        <v>125</v>
      </c>
      <c r="F30" s="483" t="s">
        <v>332</v>
      </c>
      <c r="G30" s="496">
        <v>2756</v>
      </c>
      <c r="H30" s="497">
        <v>2</v>
      </c>
      <c r="I30" s="259">
        <v>1</v>
      </c>
      <c r="J30" s="260">
        <f t="shared" si="1"/>
        <v>5512</v>
      </c>
      <c r="K30" s="261"/>
      <c r="L30" s="262"/>
      <c r="M30" s="29">
        <f t="shared" si="0"/>
      </c>
    </row>
    <row r="31" spans="1:13" ht="14.25">
      <c r="A31" s="252"/>
      <c r="B31" s="253" t="s">
        <v>284</v>
      </c>
      <c r="C31" s="254" t="s">
        <v>286</v>
      </c>
      <c r="D31" s="255">
        <v>328</v>
      </c>
      <c r="E31" s="256" t="s">
        <v>125</v>
      </c>
      <c r="F31" s="483" t="s">
        <v>294</v>
      </c>
      <c r="G31" s="496">
        <v>31650</v>
      </c>
      <c r="H31" s="497">
        <v>3</v>
      </c>
      <c r="I31" s="259">
        <v>1</v>
      </c>
      <c r="J31" s="260">
        <f t="shared" si="1"/>
        <v>94950</v>
      </c>
      <c r="K31" s="261"/>
      <c r="L31" s="262"/>
      <c r="M31" s="29">
        <f t="shared" si="0"/>
      </c>
    </row>
    <row r="32" spans="1:13" ht="13.5">
      <c r="A32" s="252"/>
      <c r="B32" s="253" t="s">
        <v>284</v>
      </c>
      <c r="C32" s="254" t="s">
        <v>286</v>
      </c>
      <c r="D32" s="255">
        <v>329</v>
      </c>
      <c r="E32" s="256" t="s">
        <v>125</v>
      </c>
      <c r="F32" s="484" t="s">
        <v>333</v>
      </c>
      <c r="G32" s="489">
        <v>26136</v>
      </c>
      <c r="H32" s="491">
        <v>1</v>
      </c>
      <c r="I32" s="259">
        <v>1</v>
      </c>
      <c r="J32" s="260">
        <f t="shared" si="1"/>
        <v>26136</v>
      </c>
      <c r="K32" s="261"/>
      <c r="L32" s="262"/>
      <c r="M32" s="29">
        <f t="shared" si="0"/>
      </c>
    </row>
    <row r="33" spans="1:13" ht="13.5">
      <c r="A33" s="252"/>
      <c r="B33" s="281" t="s">
        <v>350</v>
      </c>
      <c r="C33" s="254" t="s">
        <v>351</v>
      </c>
      <c r="D33" s="255">
        <v>330</v>
      </c>
      <c r="E33" s="256" t="s">
        <v>125</v>
      </c>
      <c r="F33" s="500" t="s">
        <v>334</v>
      </c>
      <c r="G33" s="499"/>
      <c r="H33" s="491">
        <v>1</v>
      </c>
      <c r="I33" s="259">
        <v>1</v>
      </c>
      <c r="J33" s="260">
        <f t="shared" si="1"/>
        <v>0</v>
      </c>
      <c r="K33" s="261"/>
      <c r="L33" s="262"/>
      <c r="M33" s="29">
        <f t="shared" si="0"/>
      </c>
    </row>
    <row r="34" spans="1:13" ht="13.5">
      <c r="A34" s="252"/>
      <c r="B34" s="281" t="s">
        <v>350</v>
      </c>
      <c r="C34" s="254" t="s">
        <v>351</v>
      </c>
      <c r="D34" s="255">
        <v>331</v>
      </c>
      <c r="E34" s="482" t="s">
        <v>125</v>
      </c>
      <c r="F34" s="501" t="s">
        <v>335</v>
      </c>
      <c r="G34" s="499"/>
      <c r="H34" s="497">
        <v>15</v>
      </c>
      <c r="I34" s="259">
        <v>1</v>
      </c>
      <c r="J34" s="260">
        <f t="shared" si="1"/>
        <v>0</v>
      </c>
      <c r="K34" s="261"/>
      <c r="L34" s="262"/>
      <c r="M34" s="29">
        <f t="shared" si="0"/>
      </c>
    </row>
    <row r="35" spans="1:13" ht="13.5">
      <c r="A35" s="252"/>
      <c r="B35" s="281" t="s">
        <v>350</v>
      </c>
      <c r="C35" s="254" t="s">
        <v>351</v>
      </c>
      <c r="D35" s="255">
        <v>332</v>
      </c>
      <c r="E35" s="482" t="s">
        <v>125</v>
      </c>
      <c r="F35" s="501" t="s">
        <v>352</v>
      </c>
      <c r="G35" s="499"/>
      <c r="H35" s="497">
        <v>1</v>
      </c>
      <c r="I35" s="259">
        <v>1</v>
      </c>
      <c r="J35" s="260">
        <f t="shared" si="1"/>
        <v>0</v>
      </c>
      <c r="K35" s="261"/>
      <c r="L35" s="262"/>
      <c r="M35" s="29">
        <f t="shared" si="0"/>
      </c>
    </row>
    <row r="36" spans="1:13" ht="13.5">
      <c r="A36" s="252"/>
      <c r="B36" s="281" t="s">
        <v>350</v>
      </c>
      <c r="C36" s="254" t="s">
        <v>351</v>
      </c>
      <c r="D36" s="255">
        <v>333</v>
      </c>
      <c r="E36" s="482" t="s">
        <v>125</v>
      </c>
      <c r="F36" s="501" t="s">
        <v>336</v>
      </c>
      <c r="G36" s="499"/>
      <c r="H36" s="497">
        <v>1</v>
      </c>
      <c r="I36" s="259">
        <v>1</v>
      </c>
      <c r="J36" s="260">
        <f t="shared" si="1"/>
        <v>0</v>
      </c>
      <c r="K36" s="261"/>
      <c r="L36" s="262"/>
      <c r="M36" s="29">
        <f t="shared" si="0"/>
      </c>
    </row>
    <row r="37" spans="1:13" ht="14.25">
      <c r="A37" s="252"/>
      <c r="B37" s="281" t="s">
        <v>350</v>
      </c>
      <c r="C37" s="254" t="s">
        <v>351</v>
      </c>
      <c r="D37" s="255">
        <v>334</v>
      </c>
      <c r="E37" s="482" t="s">
        <v>125</v>
      </c>
      <c r="F37" s="483" t="s">
        <v>337</v>
      </c>
      <c r="G37" s="496">
        <v>3341</v>
      </c>
      <c r="H37" s="497">
        <v>3</v>
      </c>
      <c r="I37" s="259">
        <v>1</v>
      </c>
      <c r="J37" s="260">
        <f t="shared" si="1"/>
        <v>10023</v>
      </c>
      <c r="K37" s="261"/>
      <c r="L37" s="262"/>
      <c r="M37" s="29">
        <f t="shared" si="0"/>
      </c>
    </row>
    <row r="38" spans="1:13" ht="14.25">
      <c r="A38" s="252"/>
      <c r="B38" s="281" t="s">
        <v>350</v>
      </c>
      <c r="C38" s="254" t="s">
        <v>351</v>
      </c>
      <c r="D38" s="255">
        <v>335</v>
      </c>
      <c r="E38" s="482" t="s">
        <v>125</v>
      </c>
      <c r="F38" s="483" t="s">
        <v>338</v>
      </c>
      <c r="G38" s="496">
        <v>173</v>
      </c>
      <c r="H38" s="497">
        <v>100</v>
      </c>
      <c r="I38" s="259">
        <v>1</v>
      </c>
      <c r="J38" s="260">
        <f t="shared" si="1"/>
        <v>17300</v>
      </c>
      <c r="K38" s="261"/>
      <c r="L38" s="262"/>
      <c r="M38" s="29">
        <f t="shared" si="0"/>
      </c>
    </row>
    <row r="39" spans="1:13" ht="14.25">
      <c r="A39" s="252"/>
      <c r="B39" s="281" t="s">
        <v>350</v>
      </c>
      <c r="C39" s="254" t="s">
        <v>351</v>
      </c>
      <c r="D39" s="255">
        <v>336</v>
      </c>
      <c r="E39" s="482" t="s">
        <v>125</v>
      </c>
      <c r="F39" s="483" t="s">
        <v>339</v>
      </c>
      <c r="G39" s="496">
        <v>1296</v>
      </c>
      <c r="H39" s="497">
        <v>15</v>
      </c>
      <c r="I39" s="259">
        <v>1</v>
      </c>
      <c r="J39" s="260">
        <f t="shared" si="1"/>
        <v>19440</v>
      </c>
      <c r="K39" s="261"/>
      <c r="L39" s="262"/>
      <c r="M39" s="29">
        <f t="shared" si="0"/>
      </c>
    </row>
    <row r="40" spans="1:13" ht="14.25">
      <c r="A40" s="252"/>
      <c r="B40" s="281" t="s">
        <v>350</v>
      </c>
      <c r="C40" s="254" t="s">
        <v>351</v>
      </c>
      <c r="D40" s="255">
        <v>337</v>
      </c>
      <c r="E40" s="482" t="s">
        <v>125</v>
      </c>
      <c r="F40" s="485" t="s">
        <v>340</v>
      </c>
      <c r="G40" s="496">
        <v>7344</v>
      </c>
      <c r="H40" s="497">
        <v>3</v>
      </c>
      <c r="I40" s="259">
        <v>1</v>
      </c>
      <c r="J40" s="260">
        <f t="shared" si="1"/>
        <v>22032</v>
      </c>
      <c r="K40" s="261"/>
      <c r="L40" s="262"/>
      <c r="M40" s="29">
        <f t="shared" si="0"/>
      </c>
    </row>
    <row r="41" spans="1:13" ht="14.25">
      <c r="A41" s="252"/>
      <c r="B41" s="281" t="s">
        <v>350</v>
      </c>
      <c r="C41" s="254" t="s">
        <v>351</v>
      </c>
      <c r="D41" s="255">
        <v>338</v>
      </c>
      <c r="E41" s="482" t="s">
        <v>125</v>
      </c>
      <c r="F41" s="483" t="s">
        <v>341</v>
      </c>
      <c r="G41" s="496">
        <v>5760</v>
      </c>
      <c r="H41" s="497">
        <v>1</v>
      </c>
      <c r="I41" s="259">
        <v>1</v>
      </c>
      <c r="J41" s="260">
        <f t="shared" si="1"/>
        <v>5760</v>
      </c>
      <c r="K41" s="261"/>
      <c r="L41" s="262"/>
      <c r="M41" s="29">
        <f t="shared" si="0"/>
      </c>
    </row>
    <row r="42" spans="1:13" ht="14.25">
      <c r="A42" s="252"/>
      <c r="B42" s="281" t="s">
        <v>350</v>
      </c>
      <c r="C42" s="254" t="s">
        <v>351</v>
      </c>
      <c r="D42" s="255">
        <v>339</v>
      </c>
      <c r="E42" s="482" t="s">
        <v>125</v>
      </c>
      <c r="F42" s="479" t="s">
        <v>349</v>
      </c>
      <c r="G42" s="495">
        <v>8400</v>
      </c>
      <c r="H42" s="497">
        <v>1</v>
      </c>
      <c r="I42" s="259">
        <v>1</v>
      </c>
      <c r="J42" s="260">
        <f t="shared" si="1"/>
        <v>8400</v>
      </c>
      <c r="K42" s="261"/>
      <c r="L42" s="262"/>
      <c r="M42" s="29">
        <f t="shared" si="0"/>
      </c>
    </row>
    <row r="43" spans="1:13" ht="14.25">
      <c r="A43" s="252"/>
      <c r="B43" s="281" t="s">
        <v>350</v>
      </c>
      <c r="C43" s="254" t="s">
        <v>351</v>
      </c>
      <c r="D43" s="255">
        <v>340</v>
      </c>
      <c r="E43" s="482" t="s">
        <v>125</v>
      </c>
      <c r="F43" s="479" t="s">
        <v>342</v>
      </c>
      <c r="G43" s="495">
        <v>950</v>
      </c>
      <c r="H43" s="497">
        <v>10</v>
      </c>
      <c r="I43" s="259">
        <v>1</v>
      </c>
      <c r="J43" s="260">
        <f t="shared" si="1"/>
        <v>9500</v>
      </c>
      <c r="K43" s="261"/>
      <c r="L43" s="262"/>
      <c r="M43" s="29">
        <f t="shared" si="0"/>
      </c>
    </row>
    <row r="44" spans="1:13" ht="14.25">
      <c r="A44" s="252"/>
      <c r="B44" s="281" t="s">
        <v>350</v>
      </c>
      <c r="C44" s="254" t="s">
        <v>351</v>
      </c>
      <c r="D44" s="255">
        <v>341</v>
      </c>
      <c r="E44" s="482" t="s">
        <v>125</v>
      </c>
      <c r="F44" s="479" t="s">
        <v>343</v>
      </c>
      <c r="G44" s="495">
        <v>2851</v>
      </c>
      <c r="H44" s="497">
        <v>3</v>
      </c>
      <c r="I44" s="259">
        <v>1</v>
      </c>
      <c r="J44" s="260">
        <f t="shared" si="1"/>
        <v>8553</v>
      </c>
      <c r="K44" s="279"/>
      <c r="L44" s="280"/>
      <c r="M44" s="29">
        <f t="shared" si="0"/>
      </c>
    </row>
    <row r="45" spans="1:13" ht="14.25">
      <c r="A45" s="252"/>
      <c r="B45" s="281" t="s">
        <v>350</v>
      </c>
      <c r="C45" s="254" t="s">
        <v>351</v>
      </c>
      <c r="D45" s="255">
        <v>342</v>
      </c>
      <c r="E45" s="482" t="s">
        <v>125</v>
      </c>
      <c r="F45" s="480" t="s">
        <v>344</v>
      </c>
      <c r="G45" s="495">
        <v>75312</v>
      </c>
      <c r="H45" s="497">
        <v>1</v>
      </c>
      <c r="I45" s="259">
        <v>1</v>
      </c>
      <c r="J45" s="260">
        <f t="shared" si="1"/>
        <v>75312</v>
      </c>
      <c r="K45" s="261"/>
      <c r="L45" s="262"/>
      <c r="M45" s="29">
        <f t="shared" si="0"/>
      </c>
    </row>
    <row r="46" spans="1:13" ht="14.25">
      <c r="A46" s="252"/>
      <c r="B46" s="281" t="s">
        <v>350</v>
      </c>
      <c r="C46" s="254" t="s">
        <v>351</v>
      </c>
      <c r="D46" s="255">
        <v>343</v>
      </c>
      <c r="E46" s="482" t="s">
        <v>125</v>
      </c>
      <c r="F46" s="480" t="s">
        <v>345</v>
      </c>
      <c r="G46" s="495">
        <v>6912</v>
      </c>
      <c r="H46" s="497">
        <v>1</v>
      </c>
      <c r="I46" s="259">
        <v>1</v>
      </c>
      <c r="J46" s="260">
        <f t="shared" si="1"/>
        <v>6912</v>
      </c>
      <c r="K46" s="261"/>
      <c r="L46" s="262"/>
      <c r="M46" s="29">
        <f t="shared" si="0"/>
      </c>
    </row>
    <row r="47" spans="1:13" ht="14.25">
      <c r="A47" s="252"/>
      <c r="B47" s="281" t="s">
        <v>350</v>
      </c>
      <c r="C47" s="254" t="s">
        <v>351</v>
      </c>
      <c r="D47" s="255">
        <v>344</v>
      </c>
      <c r="E47" s="482" t="s">
        <v>125</v>
      </c>
      <c r="F47" s="480" t="s">
        <v>346</v>
      </c>
      <c r="G47" s="495">
        <v>717</v>
      </c>
      <c r="H47" s="497">
        <v>1</v>
      </c>
      <c r="I47" s="259">
        <v>1</v>
      </c>
      <c r="J47" s="260">
        <f t="shared" si="1"/>
        <v>717</v>
      </c>
      <c r="K47" s="261"/>
      <c r="L47" s="262"/>
      <c r="M47" s="29">
        <f t="shared" si="0"/>
      </c>
    </row>
    <row r="48" spans="1:13" ht="28.5">
      <c r="A48" s="252"/>
      <c r="B48" s="281" t="s">
        <v>350</v>
      </c>
      <c r="C48" s="254" t="s">
        <v>351</v>
      </c>
      <c r="D48" s="255">
        <v>345</v>
      </c>
      <c r="E48" s="482" t="s">
        <v>125</v>
      </c>
      <c r="F48" s="480" t="s">
        <v>347</v>
      </c>
      <c r="G48" s="495">
        <v>18008</v>
      </c>
      <c r="H48" s="497">
        <v>1</v>
      </c>
      <c r="I48" s="259">
        <v>1</v>
      </c>
      <c r="J48" s="260">
        <f t="shared" si="1"/>
        <v>18008</v>
      </c>
      <c r="K48" s="261"/>
      <c r="L48" s="262"/>
      <c r="M48" s="29">
        <f t="shared" si="0"/>
      </c>
    </row>
    <row r="49" spans="1:13" ht="28.5">
      <c r="A49" s="252"/>
      <c r="B49" s="281" t="s">
        <v>350</v>
      </c>
      <c r="C49" s="254" t="s">
        <v>351</v>
      </c>
      <c r="D49" s="255">
        <v>346</v>
      </c>
      <c r="E49" s="482" t="s">
        <v>125</v>
      </c>
      <c r="F49" s="480" t="s">
        <v>348</v>
      </c>
      <c r="G49" s="495">
        <v>14168</v>
      </c>
      <c r="H49" s="497">
        <v>1</v>
      </c>
      <c r="I49" s="259">
        <v>1</v>
      </c>
      <c r="J49" s="260">
        <f t="shared" si="1"/>
        <v>14168</v>
      </c>
      <c r="K49" s="261"/>
      <c r="L49" s="262"/>
      <c r="M49" s="29">
        <f t="shared" si="0"/>
      </c>
    </row>
    <row r="50" spans="1:13" ht="13.5">
      <c r="A50" s="252"/>
      <c r="B50" s="253"/>
      <c r="C50" s="254"/>
      <c r="D50" s="255">
        <v>347</v>
      </c>
      <c r="E50" s="256"/>
      <c r="F50" s="276"/>
      <c r="G50" s="490"/>
      <c r="H50" s="493"/>
      <c r="I50" s="259"/>
      <c r="J50" s="260">
        <f t="shared" si="1"/>
        <v>0</v>
      </c>
      <c r="K50" s="261"/>
      <c r="L50" s="262"/>
      <c r="M50" s="29">
        <f t="shared" si="0"/>
      </c>
    </row>
    <row r="51" spans="1:13" ht="13.5">
      <c r="A51" s="252"/>
      <c r="B51" s="253"/>
      <c r="C51" s="254"/>
      <c r="D51" s="255">
        <v>348</v>
      </c>
      <c r="E51" s="256"/>
      <c r="F51" s="257"/>
      <c r="G51" s="487"/>
      <c r="H51" s="491"/>
      <c r="I51" s="259"/>
      <c r="J51" s="260">
        <f t="shared" si="1"/>
        <v>0</v>
      </c>
      <c r="K51" s="261"/>
      <c r="L51" s="262"/>
      <c r="M51" s="29">
        <f t="shared" si="0"/>
      </c>
    </row>
    <row r="52" spans="1:13" ht="13.5">
      <c r="A52" s="252"/>
      <c r="B52" s="253"/>
      <c r="C52" s="254"/>
      <c r="D52" s="255">
        <v>349</v>
      </c>
      <c r="E52" s="256"/>
      <c r="F52" s="257"/>
      <c r="G52" s="487"/>
      <c r="H52" s="491"/>
      <c r="I52" s="259"/>
      <c r="J52" s="260">
        <f t="shared" si="1"/>
        <v>0</v>
      </c>
      <c r="K52" s="261"/>
      <c r="L52" s="262"/>
      <c r="M52" s="29">
        <f t="shared" si="0"/>
      </c>
    </row>
    <row r="53" spans="1:13" ht="13.5">
      <c r="A53" s="252"/>
      <c r="B53" s="253"/>
      <c r="C53" s="254"/>
      <c r="D53" s="255">
        <v>350</v>
      </c>
      <c r="E53" s="256"/>
      <c r="F53" s="256"/>
      <c r="G53" s="488"/>
      <c r="H53" s="494"/>
      <c r="I53" s="271"/>
      <c r="J53" s="260">
        <f t="shared" si="1"/>
        <v>0</v>
      </c>
      <c r="K53" s="272"/>
      <c r="L53" s="273"/>
      <c r="M53" s="29">
        <f t="shared" si="0"/>
      </c>
    </row>
    <row r="54" spans="1:13" ht="13.5">
      <c r="A54" s="282"/>
      <c r="B54" s="283"/>
      <c r="C54" s="478"/>
      <c r="D54" s="255">
        <v>351</v>
      </c>
      <c r="E54" s="256"/>
      <c r="F54" s="257"/>
      <c r="G54" s="487"/>
      <c r="H54" s="491"/>
      <c r="I54" s="259"/>
      <c r="J54" s="260">
        <f t="shared" si="1"/>
        <v>0</v>
      </c>
      <c r="K54" s="261"/>
      <c r="L54" s="262"/>
      <c r="M54" s="29">
        <f t="shared" si="0"/>
      </c>
    </row>
    <row r="55" spans="1:13" ht="13.5">
      <c r="A55" s="282"/>
      <c r="B55" s="283"/>
      <c r="C55" s="478"/>
      <c r="D55" s="255">
        <v>352</v>
      </c>
      <c r="E55" s="256"/>
      <c r="F55" s="257"/>
      <c r="G55" s="487"/>
      <c r="H55" s="491"/>
      <c r="I55" s="259"/>
      <c r="J55" s="260">
        <f t="shared" si="1"/>
        <v>0</v>
      </c>
      <c r="K55" s="261"/>
      <c r="L55" s="262"/>
      <c r="M55" s="29">
        <f t="shared" si="0"/>
      </c>
    </row>
    <row r="56" spans="1:13" ht="13.5">
      <c r="A56" s="282"/>
      <c r="B56" s="283"/>
      <c r="C56" s="478"/>
      <c r="D56" s="255">
        <v>353</v>
      </c>
      <c r="E56" s="256"/>
      <c r="F56" s="257"/>
      <c r="G56" s="487"/>
      <c r="H56" s="491"/>
      <c r="I56" s="259"/>
      <c r="J56" s="260">
        <f t="shared" si="1"/>
        <v>0</v>
      </c>
      <c r="K56" s="261"/>
      <c r="L56" s="262"/>
      <c r="M56" s="29">
        <f t="shared" si="0"/>
      </c>
    </row>
    <row r="57" spans="1:13" ht="13.5">
      <c r="A57" s="282"/>
      <c r="B57" s="283"/>
      <c r="C57" s="478"/>
      <c r="D57" s="255">
        <v>354</v>
      </c>
      <c r="E57" s="256"/>
      <c r="F57" s="257"/>
      <c r="G57" s="487"/>
      <c r="H57" s="491"/>
      <c r="I57" s="259"/>
      <c r="J57" s="260">
        <f t="shared" si="1"/>
        <v>0</v>
      </c>
      <c r="K57" s="261"/>
      <c r="L57" s="262"/>
      <c r="M57" s="29">
        <f t="shared" si="0"/>
      </c>
    </row>
    <row r="58" spans="1:13" ht="13.5">
      <c r="A58" s="282"/>
      <c r="B58" s="283"/>
      <c r="C58" s="478"/>
      <c r="D58" s="255">
        <v>355</v>
      </c>
      <c r="E58" s="256"/>
      <c r="F58" s="257"/>
      <c r="G58" s="487"/>
      <c r="H58" s="491"/>
      <c r="I58" s="259"/>
      <c r="J58" s="260">
        <f t="shared" si="1"/>
        <v>0</v>
      </c>
      <c r="K58" s="261"/>
      <c r="L58" s="262"/>
      <c r="M58" s="29">
        <f t="shared" si="0"/>
      </c>
    </row>
    <row r="59" spans="1:13" ht="13.5">
      <c r="A59" s="282"/>
      <c r="B59" s="283"/>
      <c r="C59" s="478"/>
      <c r="D59" s="255">
        <v>356</v>
      </c>
      <c r="E59" s="256"/>
      <c r="F59" s="257"/>
      <c r="G59" s="487"/>
      <c r="H59" s="491"/>
      <c r="I59" s="259"/>
      <c r="J59" s="260">
        <f t="shared" si="1"/>
        <v>0</v>
      </c>
      <c r="K59" s="261"/>
      <c r="L59" s="262"/>
      <c r="M59" s="29">
        <f t="shared" si="0"/>
      </c>
    </row>
    <row r="60" spans="1:13" ht="13.5">
      <c r="A60" s="282"/>
      <c r="B60" s="283"/>
      <c r="C60" s="478"/>
      <c r="D60" s="255">
        <v>357</v>
      </c>
      <c r="E60" s="256"/>
      <c r="F60" s="257"/>
      <c r="G60" s="487"/>
      <c r="H60" s="491"/>
      <c r="I60" s="259"/>
      <c r="J60" s="260">
        <f t="shared" si="1"/>
        <v>0</v>
      </c>
      <c r="K60" s="261"/>
      <c r="L60" s="262"/>
      <c r="M60" s="29">
        <f t="shared" si="0"/>
      </c>
    </row>
    <row r="61" spans="1:13" ht="13.5">
      <c r="A61" s="282"/>
      <c r="B61" s="283"/>
      <c r="C61" s="478"/>
      <c r="D61" s="255">
        <v>358</v>
      </c>
      <c r="E61" s="256"/>
      <c r="F61" s="257"/>
      <c r="G61" s="487"/>
      <c r="H61" s="491"/>
      <c r="I61" s="259"/>
      <c r="J61" s="260">
        <f t="shared" si="1"/>
        <v>0</v>
      </c>
      <c r="K61" s="261"/>
      <c r="L61" s="262"/>
      <c r="M61" s="29">
        <f t="shared" si="0"/>
      </c>
    </row>
    <row r="62" spans="1:13" ht="13.5">
      <c r="A62" s="282"/>
      <c r="B62" s="283"/>
      <c r="C62" s="478"/>
      <c r="D62" s="255">
        <v>359</v>
      </c>
      <c r="E62" s="256"/>
      <c r="F62" s="257"/>
      <c r="G62" s="487"/>
      <c r="H62" s="491"/>
      <c r="I62" s="259"/>
      <c r="J62" s="260">
        <f t="shared" si="1"/>
        <v>0</v>
      </c>
      <c r="K62" s="261"/>
      <c r="L62" s="262"/>
      <c r="M62" s="29">
        <f t="shared" si="0"/>
      </c>
    </row>
    <row r="63" spans="1:13" ht="13.5">
      <c r="A63" s="282"/>
      <c r="B63" s="283"/>
      <c r="C63" s="478"/>
      <c r="D63" s="255">
        <v>360</v>
      </c>
      <c r="E63" s="256"/>
      <c r="F63" s="257"/>
      <c r="G63" s="487"/>
      <c r="H63" s="491"/>
      <c r="I63" s="259"/>
      <c r="J63" s="260">
        <f t="shared" si="1"/>
        <v>0</v>
      </c>
      <c r="K63" s="261"/>
      <c r="L63" s="262"/>
      <c r="M63" s="29">
        <f t="shared" si="0"/>
      </c>
    </row>
    <row r="64" spans="1:13" ht="13.5">
      <c r="A64" s="252"/>
      <c r="B64" s="253"/>
      <c r="C64" s="254"/>
      <c r="D64" s="255">
        <v>361</v>
      </c>
      <c r="E64" s="256"/>
      <c r="F64" s="276"/>
      <c r="G64" s="490"/>
      <c r="H64" s="493"/>
      <c r="I64" s="278"/>
      <c r="J64" s="260">
        <f t="shared" si="1"/>
        <v>0</v>
      </c>
      <c r="K64" s="279"/>
      <c r="L64" s="280"/>
      <c r="M64" s="29">
        <f t="shared" si="0"/>
      </c>
    </row>
    <row r="65" spans="1:13" ht="13.5">
      <c r="A65" s="252"/>
      <c r="B65" s="253"/>
      <c r="C65" s="254"/>
      <c r="D65" s="255">
        <v>362</v>
      </c>
      <c r="E65" s="256"/>
      <c r="F65" s="257"/>
      <c r="G65" s="487"/>
      <c r="H65" s="491"/>
      <c r="I65" s="259"/>
      <c r="J65" s="260">
        <f t="shared" si="1"/>
        <v>0</v>
      </c>
      <c r="K65" s="261"/>
      <c r="L65" s="262"/>
      <c r="M65" s="29">
        <f t="shared" si="0"/>
      </c>
    </row>
    <row r="66" spans="1:13" ht="13.5">
      <c r="A66" s="252"/>
      <c r="B66" s="253"/>
      <c r="C66" s="254"/>
      <c r="D66" s="255">
        <v>363</v>
      </c>
      <c r="E66" s="256"/>
      <c r="F66" s="257"/>
      <c r="G66" s="487"/>
      <c r="H66" s="491"/>
      <c r="I66" s="259"/>
      <c r="J66" s="260">
        <f t="shared" si="1"/>
        <v>0</v>
      </c>
      <c r="K66" s="261"/>
      <c r="L66" s="262"/>
      <c r="M66" s="29">
        <f t="shared" si="0"/>
      </c>
    </row>
    <row r="67" spans="1:13" ht="13.5">
      <c r="A67" s="252"/>
      <c r="B67" s="253"/>
      <c r="C67" s="254"/>
      <c r="D67" s="255">
        <v>364</v>
      </c>
      <c r="E67" s="256"/>
      <c r="F67" s="257"/>
      <c r="G67" s="487"/>
      <c r="H67" s="491"/>
      <c r="I67" s="259"/>
      <c r="J67" s="260">
        <f t="shared" si="1"/>
        <v>0</v>
      </c>
      <c r="K67" s="261"/>
      <c r="L67" s="262"/>
      <c r="M67" s="29">
        <f t="shared" si="0"/>
      </c>
    </row>
    <row r="68" spans="1:13" ht="13.5">
      <c r="A68" s="252"/>
      <c r="B68" s="253"/>
      <c r="C68" s="254"/>
      <c r="D68" s="255">
        <v>365</v>
      </c>
      <c r="E68" s="256"/>
      <c r="F68" s="257"/>
      <c r="G68" s="487"/>
      <c r="H68" s="491"/>
      <c r="I68" s="259"/>
      <c r="J68" s="260">
        <f t="shared" si="1"/>
        <v>0</v>
      </c>
      <c r="K68" s="261"/>
      <c r="L68" s="262"/>
      <c r="M68" s="29">
        <f aca="true" t="shared" si="2" ref="M68:M102">IF(K68="◎",J68,"")</f>
      </c>
    </row>
    <row r="69" spans="1:13" ht="13.5">
      <c r="A69" s="252"/>
      <c r="B69" s="253"/>
      <c r="C69" s="254"/>
      <c r="D69" s="255">
        <v>366</v>
      </c>
      <c r="E69" s="256"/>
      <c r="F69" s="257"/>
      <c r="G69" s="487"/>
      <c r="H69" s="491"/>
      <c r="I69" s="259"/>
      <c r="J69" s="260">
        <f t="shared" si="1"/>
        <v>0</v>
      </c>
      <c r="K69" s="261"/>
      <c r="L69" s="262"/>
      <c r="M69" s="29">
        <f t="shared" si="2"/>
      </c>
    </row>
    <row r="70" spans="1:13" ht="13.5">
      <c r="A70" s="252"/>
      <c r="B70" s="253"/>
      <c r="C70" s="254"/>
      <c r="D70" s="255">
        <v>367</v>
      </c>
      <c r="E70" s="256"/>
      <c r="F70" s="257"/>
      <c r="G70" s="487"/>
      <c r="H70" s="491"/>
      <c r="I70" s="259"/>
      <c r="J70" s="260">
        <f aca="true" t="shared" si="3" ref="J70:J103">G70*H70*I70</f>
        <v>0</v>
      </c>
      <c r="K70" s="261"/>
      <c r="L70" s="262"/>
      <c r="M70" s="29">
        <f t="shared" si="2"/>
      </c>
    </row>
    <row r="71" spans="1:13" ht="13.5">
      <c r="A71" s="252"/>
      <c r="B71" s="253"/>
      <c r="C71" s="254"/>
      <c r="D71" s="255">
        <v>368</v>
      </c>
      <c r="E71" s="256"/>
      <c r="F71" s="257"/>
      <c r="G71" s="487"/>
      <c r="H71" s="491"/>
      <c r="I71" s="259"/>
      <c r="J71" s="260">
        <f t="shared" si="3"/>
        <v>0</v>
      </c>
      <c r="K71" s="261"/>
      <c r="L71" s="262"/>
      <c r="M71" s="29">
        <f t="shared" si="2"/>
      </c>
    </row>
    <row r="72" spans="1:13" ht="13.5">
      <c r="A72" s="252"/>
      <c r="B72" s="253"/>
      <c r="C72" s="254"/>
      <c r="D72" s="255">
        <v>369</v>
      </c>
      <c r="E72" s="256"/>
      <c r="F72" s="257"/>
      <c r="G72" s="487"/>
      <c r="H72" s="491"/>
      <c r="I72" s="259"/>
      <c r="J72" s="260">
        <f t="shared" si="3"/>
        <v>0</v>
      </c>
      <c r="K72" s="261"/>
      <c r="L72" s="262"/>
      <c r="M72" s="29">
        <f t="shared" si="2"/>
      </c>
    </row>
    <row r="73" spans="1:13" ht="13.5">
      <c r="A73" s="252"/>
      <c r="B73" s="253"/>
      <c r="C73" s="254"/>
      <c r="D73" s="255">
        <v>370</v>
      </c>
      <c r="E73" s="256"/>
      <c r="F73" s="256"/>
      <c r="G73" s="488"/>
      <c r="H73" s="271"/>
      <c r="I73" s="271"/>
      <c r="J73" s="260">
        <f t="shared" si="3"/>
        <v>0</v>
      </c>
      <c r="K73" s="272"/>
      <c r="L73" s="273"/>
      <c r="M73" s="29">
        <f t="shared" si="2"/>
      </c>
    </row>
    <row r="74" spans="1:13" ht="13.5">
      <c r="A74" s="252"/>
      <c r="B74" s="253"/>
      <c r="C74" s="254"/>
      <c r="D74" s="255">
        <v>371</v>
      </c>
      <c r="E74" s="256"/>
      <c r="F74" s="257"/>
      <c r="G74" s="487"/>
      <c r="H74" s="259"/>
      <c r="I74" s="259"/>
      <c r="J74" s="260">
        <f t="shared" si="3"/>
        <v>0</v>
      </c>
      <c r="K74" s="261"/>
      <c r="L74" s="262"/>
      <c r="M74" s="29">
        <f t="shared" si="2"/>
      </c>
    </row>
    <row r="75" spans="1:13" ht="13.5">
      <c r="A75" s="252"/>
      <c r="B75" s="253"/>
      <c r="C75" s="254"/>
      <c r="D75" s="255">
        <v>372</v>
      </c>
      <c r="E75" s="256"/>
      <c r="F75" s="257"/>
      <c r="G75" s="487"/>
      <c r="H75" s="259"/>
      <c r="I75" s="259"/>
      <c r="J75" s="260">
        <f t="shared" si="3"/>
        <v>0</v>
      </c>
      <c r="K75" s="261"/>
      <c r="L75" s="262"/>
      <c r="M75" s="29">
        <f t="shared" si="2"/>
      </c>
    </row>
    <row r="76" spans="1:13" ht="13.5">
      <c r="A76" s="252"/>
      <c r="B76" s="253"/>
      <c r="C76" s="254"/>
      <c r="D76" s="255">
        <v>373</v>
      </c>
      <c r="E76" s="256"/>
      <c r="F76" s="257"/>
      <c r="G76" s="487"/>
      <c r="H76" s="259"/>
      <c r="I76" s="259"/>
      <c r="J76" s="260">
        <f t="shared" si="3"/>
        <v>0</v>
      </c>
      <c r="K76" s="261"/>
      <c r="L76" s="262"/>
      <c r="M76" s="29">
        <f t="shared" si="2"/>
      </c>
    </row>
    <row r="77" spans="1:13" ht="13.5">
      <c r="A77" s="252"/>
      <c r="B77" s="253"/>
      <c r="C77" s="254"/>
      <c r="D77" s="255">
        <v>374</v>
      </c>
      <c r="E77" s="256"/>
      <c r="F77" s="257"/>
      <c r="G77" s="487"/>
      <c r="H77" s="259"/>
      <c r="I77" s="259"/>
      <c r="J77" s="260">
        <f t="shared" si="3"/>
        <v>0</v>
      </c>
      <c r="K77" s="261"/>
      <c r="L77" s="262"/>
      <c r="M77" s="29">
        <f t="shared" si="2"/>
      </c>
    </row>
    <row r="78" spans="1:13" ht="13.5">
      <c r="A78" s="252"/>
      <c r="B78" s="253"/>
      <c r="C78" s="254"/>
      <c r="D78" s="255">
        <v>375</v>
      </c>
      <c r="E78" s="256"/>
      <c r="F78" s="257"/>
      <c r="G78" s="487"/>
      <c r="H78" s="259"/>
      <c r="I78" s="259"/>
      <c r="J78" s="260">
        <f t="shared" si="3"/>
        <v>0</v>
      </c>
      <c r="K78" s="261"/>
      <c r="L78" s="262"/>
      <c r="M78" s="29">
        <f t="shared" si="2"/>
      </c>
    </row>
    <row r="79" spans="1:13" ht="13.5">
      <c r="A79" s="252"/>
      <c r="B79" s="253"/>
      <c r="C79" s="254"/>
      <c r="D79" s="255">
        <v>376</v>
      </c>
      <c r="E79" s="256"/>
      <c r="F79" s="257"/>
      <c r="G79" s="487"/>
      <c r="H79" s="259"/>
      <c r="I79" s="259"/>
      <c r="J79" s="260">
        <f t="shared" si="3"/>
        <v>0</v>
      </c>
      <c r="K79" s="261"/>
      <c r="L79" s="262"/>
      <c r="M79" s="29">
        <f t="shared" si="2"/>
      </c>
    </row>
    <row r="80" spans="1:13" ht="13.5">
      <c r="A80" s="252"/>
      <c r="B80" s="253"/>
      <c r="C80" s="254"/>
      <c r="D80" s="255">
        <v>377</v>
      </c>
      <c r="E80" s="256"/>
      <c r="F80" s="257"/>
      <c r="G80" s="487"/>
      <c r="H80" s="259"/>
      <c r="I80" s="259"/>
      <c r="J80" s="260">
        <f t="shared" si="3"/>
        <v>0</v>
      </c>
      <c r="K80" s="261"/>
      <c r="L80" s="262"/>
      <c r="M80" s="29">
        <f t="shared" si="2"/>
      </c>
    </row>
    <row r="81" spans="1:13" ht="13.5">
      <c r="A81" s="252"/>
      <c r="B81" s="253"/>
      <c r="C81" s="254"/>
      <c r="D81" s="255">
        <v>378</v>
      </c>
      <c r="E81" s="256"/>
      <c r="F81" s="257"/>
      <c r="G81" s="487"/>
      <c r="H81" s="259"/>
      <c r="I81" s="259"/>
      <c r="J81" s="260">
        <f t="shared" si="3"/>
        <v>0</v>
      </c>
      <c r="K81" s="261"/>
      <c r="L81" s="262"/>
      <c r="M81" s="29">
        <f t="shared" si="2"/>
      </c>
    </row>
    <row r="82" spans="1:13" ht="13.5">
      <c r="A82" s="252"/>
      <c r="B82" s="253"/>
      <c r="C82" s="254"/>
      <c r="D82" s="255">
        <v>379</v>
      </c>
      <c r="E82" s="256"/>
      <c r="F82" s="257"/>
      <c r="G82" s="487"/>
      <c r="H82" s="259"/>
      <c r="I82" s="259"/>
      <c r="J82" s="260">
        <f t="shared" si="3"/>
        <v>0</v>
      </c>
      <c r="K82" s="261"/>
      <c r="L82" s="262"/>
      <c r="M82" s="29">
        <f t="shared" si="2"/>
      </c>
    </row>
    <row r="83" spans="1:13" ht="13.5">
      <c r="A83" s="252"/>
      <c r="B83" s="253"/>
      <c r="C83" s="254"/>
      <c r="D83" s="255">
        <v>380</v>
      </c>
      <c r="E83" s="257"/>
      <c r="F83" s="257"/>
      <c r="G83" s="487"/>
      <c r="H83" s="259"/>
      <c r="I83" s="259"/>
      <c r="J83" s="260">
        <f t="shared" si="3"/>
        <v>0</v>
      </c>
      <c r="K83" s="261"/>
      <c r="L83" s="262"/>
      <c r="M83" s="29">
        <f t="shared" si="2"/>
      </c>
    </row>
    <row r="84" spans="1:13" ht="13.5">
      <c r="A84" s="252"/>
      <c r="B84" s="253"/>
      <c r="C84" s="254"/>
      <c r="D84" s="255">
        <v>381</v>
      </c>
      <c r="E84" s="265"/>
      <c r="F84" s="276"/>
      <c r="G84" s="490"/>
      <c r="H84" s="278"/>
      <c r="I84" s="278"/>
      <c r="J84" s="260">
        <f t="shared" si="3"/>
        <v>0</v>
      </c>
      <c r="K84" s="279"/>
      <c r="L84" s="280"/>
      <c r="M84" s="29">
        <f t="shared" si="2"/>
      </c>
    </row>
    <row r="85" spans="1:13" ht="13.5">
      <c r="A85" s="252"/>
      <c r="B85" s="253"/>
      <c r="C85" s="254"/>
      <c r="D85" s="255">
        <v>382</v>
      </c>
      <c r="E85" s="256"/>
      <c r="F85" s="257"/>
      <c r="G85" s="487"/>
      <c r="H85" s="259"/>
      <c r="I85" s="259"/>
      <c r="J85" s="260">
        <f t="shared" si="3"/>
        <v>0</v>
      </c>
      <c r="K85" s="261"/>
      <c r="L85" s="262"/>
      <c r="M85" s="29">
        <f t="shared" si="2"/>
      </c>
    </row>
    <row r="86" spans="1:13" ht="13.5">
      <c r="A86" s="252"/>
      <c r="B86" s="253"/>
      <c r="C86" s="254"/>
      <c r="D86" s="255">
        <v>383</v>
      </c>
      <c r="E86" s="256"/>
      <c r="F86" s="257"/>
      <c r="G86" s="487"/>
      <c r="H86" s="259"/>
      <c r="I86" s="259"/>
      <c r="J86" s="260">
        <f t="shared" si="3"/>
        <v>0</v>
      </c>
      <c r="K86" s="261"/>
      <c r="L86" s="262"/>
      <c r="M86" s="29">
        <f t="shared" si="2"/>
      </c>
    </row>
    <row r="87" spans="1:13" ht="13.5">
      <c r="A87" s="252"/>
      <c r="B87" s="253"/>
      <c r="C87" s="254"/>
      <c r="D87" s="255">
        <v>384</v>
      </c>
      <c r="E87" s="256"/>
      <c r="F87" s="257"/>
      <c r="G87" s="487"/>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3"/>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602" t="s">
        <v>176</v>
      </c>
      <c r="I106" s="602"/>
      <c r="J106" s="602" t="s">
        <v>98</v>
      </c>
      <c r="K106" s="607"/>
    </row>
    <row r="107" spans="4:11" ht="14.25" thickTop="1">
      <c r="D107" s="231"/>
      <c r="F107" s="297" t="s">
        <v>85</v>
      </c>
      <c r="G107" s="359">
        <f>SUMIF($E$4:$E$103,F107,$J$4:$J$103)</f>
        <v>51000</v>
      </c>
      <c r="H107" s="565">
        <f>SUMIF($E$4:$E$103,F107,$M$4:$M$103)</f>
        <v>0</v>
      </c>
      <c r="I107" s="565"/>
      <c r="J107" s="565">
        <f aca="true" t="shared" si="4" ref="J107:J115">G107-H107</f>
        <v>51000</v>
      </c>
      <c r="K107" s="646"/>
    </row>
    <row r="108" spans="4:11" ht="13.5">
      <c r="D108" s="231"/>
      <c r="F108" s="298" t="s">
        <v>86</v>
      </c>
      <c r="G108" s="358">
        <f aca="true" t="shared" si="5" ref="G108:G115">SUMIF($E$4:$E$103,F108,$J$4:$J$103)</f>
        <v>9950</v>
      </c>
      <c r="H108" s="573">
        <f aca="true" t="shared" si="6" ref="H108:H114">SUMIF($E$4:$E$103,F108,$M$4:$M$103)</f>
        <v>0</v>
      </c>
      <c r="I108" s="573"/>
      <c r="J108" s="573">
        <f t="shared" si="4"/>
        <v>9950</v>
      </c>
      <c r="K108" s="576"/>
    </row>
    <row r="109" spans="4:11" ht="13.5">
      <c r="D109" s="231"/>
      <c r="F109" s="298" t="s">
        <v>125</v>
      </c>
      <c r="G109" s="358">
        <f t="shared" si="5"/>
        <v>761794</v>
      </c>
      <c r="H109" s="573">
        <f t="shared" si="6"/>
        <v>0</v>
      </c>
      <c r="I109" s="573"/>
      <c r="J109" s="573">
        <f t="shared" si="4"/>
        <v>761794</v>
      </c>
      <c r="K109" s="576"/>
    </row>
    <row r="110" spans="4:11" ht="13.5">
      <c r="D110" s="231"/>
      <c r="F110" s="298" t="s">
        <v>126</v>
      </c>
      <c r="G110" s="358">
        <f t="shared" si="5"/>
        <v>0</v>
      </c>
      <c r="H110" s="573">
        <f t="shared" si="6"/>
        <v>0</v>
      </c>
      <c r="I110" s="573"/>
      <c r="J110" s="573">
        <f t="shared" si="4"/>
        <v>0</v>
      </c>
      <c r="K110" s="576"/>
    </row>
    <row r="111" spans="4:11" ht="13.5">
      <c r="D111" s="231"/>
      <c r="F111" s="298" t="s">
        <v>87</v>
      </c>
      <c r="G111" s="358">
        <f t="shared" si="5"/>
        <v>0</v>
      </c>
      <c r="H111" s="573">
        <f t="shared" si="6"/>
        <v>0</v>
      </c>
      <c r="I111" s="573"/>
      <c r="J111" s="573">
        <f t="shared" si="4"/>
        <v>0</v>
      </c>
      <c r="K111" s="576"/>
    </row>
    <row r="112" spans="4:11" ht="13.5">
      <c r="D112" s="231"/>
      <c r="F112" s="298" t="s">
        <v>88</v>
      </c>
      <c r="G112" s="358">
        <f t="shared" si="5"/>
        <v>0</v>
      </c>
      <c r="H112" s="573">
        <f t="shared" si="6"/>
        <v>0</v>
      </c>
      <c r="I112" s="573"/>
      <c r="J112" s="573">
        <f t="shared" si="4"/>
        <v>0</v>
      </c>
      <c r="K112" s="576"/>
    </row>
    <row r="113" spans="4:11" ht="13.5">
      <c r="D113" s="231"/>
      <c r="F113" s="298" t="s">
        <v>89</v>
      </c>
      <c r="G113" s="358">
        <f t="shared" si="5"/>
        <v>0</v>
      </c>
      <c r="H113" s="573">
        <f t="shared" si="6"/>
        <v>0</v>
      </c>
      <c r="I113" s="573"/>
      <c r="J113" s="573">
        <f t="shared" si="4"/>
        <v>0</v>
      </c>
      <c r="K113" s="576"/>
    </row>
    <row r="114" spans="4:11" ht="13.5">
      <c r="D114" s="231"/>
      <c r="F114" s="298" t="s">
        <v>90</v>
      </c>
      <c r="G114" s="358">
        <f t="shared" si="5"/>
        <v>117720</v>
      </c>
      <c r="H114" s="573">
        <f t="shared" si="6"/>
        <v>0</v>
      </c>
      <c r="I114" s="573"/>
      <c r="J114" s="573">
        <f t="shared" si="4"/>
        <v>117720</v>
      </c>
      <c r="K114" s="576"/>
    </row>
    <row r="115" spans="4:11" ht="14.25" thickBot="1">
      <c r="D115" s="231"/>
      <c r="F115" s="297" t="s">
        <v>138</v>
      </c>
      <c r="G115" s="358">
        <f t="shared" si="5"/>
        <v>39920</v>
      </c>
      <c r="H115" s="617">
        <f>SUMIF($E$4:$E$103,F115,$M$4:$M$103)+'2-3'!I122</f>
        <v>0</v>
      </c>
      <c r="I115" s="617"/>
      <c r="J115" s="617">
        <f t="shared" si="4"/>
        <v>39920</v>
      </c>
      <c r="K115" s="618"/>
    </row>
    <row r="116" spans="4:11" ht="15" thickBot="1" thickTop="1">
      <c r="D116" s="387"/>
      <c r="F116" s="299" t="s">
        <v>15</v>
      </c>
      <c r="G116" s="360">
        <f>SUM(G107:G115)</f>
        <v>980384</v>
      </c>
      <c r="H116" s="619">
        <f>SUM(H107:I115)</f>
        <v>0</v>
      </c>
      <c r="I116" s="619"/>
      <c r="J116" s="619">
        <f>SUM(J107:K115)</f>
        <v>980384</v>
      </c>
      <c r="K116" s="62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30" operator="equal" stopIfTrue="1">
      <formula>0</formula>
    </cfRule>
  </conditionalFormatting>
  <conditionalFormatting sqref="J104">
    <cfRule type="cellIs" priority="3" dxfId="30"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35" t="s">
        <v>14</v>
      </c>
      <c r="I1" s="535"/>
      <c r="J1" s="535"/>
      <c r="K1" s="535"/>
    </row>
    <row r="2" spans="8:11" s="1" customFormat="1" ht="18" customHeight="1">
      <c r="H2" s="535" t="s">
        <v>7</v>
      </c>
      <c r="I2" s="535"/>
      <c r="J2" s="535"/>
      <c r="K2" s="535"/>
    </row>
    <row r="3" s="1" customFormat="1" ht="18" customHeight="1">
      <c r="K3" s="2"/>
    </row>
    <row r="4" spans="8:11" s="1" customFormat="1" ht="18" customHeight="1">
      <c r="H4" s="536" t="s">
        <v>6</v>
      </c>
      <c r="I4" s="536"/>
      <c r="J4" s="536"/>
      <c r="K4" s="536"/>
    </row>
    <row r="5" spans="8:11" s="1" customFormat="1" ht="18" customHeight="1">
      <c r="H5" s="536" t="s">
        <v>145</v>
      </c>
      <c r="I5" s="536"/>
      <c r="J5" s="536"/>
      <c r="K5" s="536"/>
    </row>
    <row r="6" spans="1:11" s="1" customFormat="1" ht="18" customHeight="1">
      <c r="A6" s="3" t="s">
        <v>2</v>
      </c>
      <c r="H6" s="4"/>
      <c r="K6" s="11"/>
    </row>
    <row r="7" spans="1:11" s="1" customFormat="1" ht="18" customHeight="1">
      <c r="A7" s="4"/>
      <c r="H7" s="536" t="s">
        <v>3</v>
      </c>
      <c r="I7" s="536"/>
      <c r="J7" s="536"/>
      <c r="K7" s="536"/>
    </row>
    <row r="8" spans="1:11" s="1" customFormat="1" ht="18" customHeight="1">
      <c r="A8" s="4"/>
      <c r="H8" s="536" t="s">
        <v>4</v>
      </c>
      <c r="I8" s="536"/>
      <c r="J8" s="536"/>
      <c r="K8" s="536"/>
    </row>
    <row r="9" spans="1:11" s="1" customFormat="1" ht="42" customHeight="1">
      <c r="A9" s="4"/>
      <c r="H9" s="2"/>
      <c r="K9" s="46"/>
    </row>
    <row r="10" spans="1:11" ht="24" customHeight="1">
      <c r="A10" s="539" t="s">
        <v>265</v>
      </c>
      <c r="B10" s="539"/>
      <c r="C10" s="539"/>
      <c r="D10" s="539"/>
      <c r="E10" s="539"/>
      <c r="F10" s="539"/>
      <c r="G10" s="539"/>
      <c r="H10" s="539"/>
      <c r="I10" s="539"/>
      <c r="J10" s="539"/>
      <c r="K10" s="539"/>
    </row>
    <row r="11" spans="1:11" ht="24" customHeight="1">
      <c r="A11" s="540"/>
      <c r="B11" s="540"/>
      <c r="C11" s="540"/>
      <c r="D11" s="540"/>
      <c r="E11" s="540"/>
      <c r="F11" s="540"/>
      <c r="G11" s="540"/>
      <c r="H11" s="540"/>
      <c r="I11" s="540"/>
      <c r="J11" s="540"/>
      <c r="K11" s="540"/>
    </row>
    <row r="12" spans="1:11" ht="24" customHeight="1">
      <c r="A12" s="14" t="s">
        <v>5</v>
      </c>
      <c r="B12" s="14"/>
      <c r="C12" s="14"/>
      <c r="D12" s="14"/>
      <c r="E12" s="14"/>
      <c r="F12" s="14"/>
      <c r="G12" s="14"/>
      <c r="H12" s="6"/>
      <c r="I12" s="6"/>
      <c r="J12" s="6"/>
      <c r="K12" s="6"/>
    </row>
    <row r="13" spans="1:11" s="24" customFormat="1" ht="24" customHeight="1" thickBot="1">
      <c r="A13" s="647"/>
      <c r="B13" s="616"/>
      <c r="C13" s="616"/>
      <c r="D13" s="616"/>
      <c r="E13" s="616"/>
      <c r="F13" s="616"/>
      <c r="G13" s="616"/>
      <c r="H13" s="616"/>
      <c r="I13" s="616"/>
      <c r="J13" s="616"/>
      <c r="K13" s="616"/>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48" t="s">
        <v>136</v>
      </c>
      <c r="C18" s="649"/>
      <c r="D18" s="649"/>
      <c r="E18" s="649"/>
      <c r="F18" s="649"/>
      <c r="G18" s="649"/>
      <c r="H18" s="649"/>
      <c r="I18" s="649"/>
      <c r="J18" s="649"/>
      <c r="K18" s="65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0" t="s">
        <v>142</v>
      </c>
      <c r="C3" s="59" t="s">
        <v>144</v>
      </c>
      <c r="D3" s="388" t="s">
        <v>147</v>
      </c>
      <c r="E3" s="96" t="s">
        <v>0</v>
      </c>
      <c r="F3" s="96" t="s">
        <v>197</v>
      </c>
      <c r="G3" s="96" t="s">
        <v>91</v>
      </c>
      <c r="H3" s="470" t="s">
        <v>246</v>
      </c>
      <c r="I3" s="96" t="s">
        <v>92</v>
      </c>
      <c r="J3" s="96" t="s">
        <v>93</v>
      </c>
      <c r="K3" s="228" t="s">
        <v>111</v>
      </c>
      <c r="L3" s="296" t="s">
        <v>107</v>
      </c>
      <c r="M3" s="29" t="s">
        <v>99</v>
      </c>
    </row>
    <row r="4" spans="1:13" ht="13.5" customHeight="1">
      <c r="A4" s="361"/>
      <c r="B4" s="389"/>
      <c r="C4" s="390"/>
      <c r="D4" s="244">
        <v>101</v>
      </c>
      <c r="E4" s="245"/>
      <c r="F4" s="246"/>
      <c r="G4" s="247"/>
      <c r="H4" s="248"/>
      <c r="I4" s="248"/>
      <c r="J4" s="249">
        <f>G4*H4*I4</f>
        <v>0</v>
      </c>
      <c r="K4" s="250"/>
      <c r="L4" s="251"/>
      <c r="M4" s="29">
        <f aca="true" t="shared" si="0" ref="M4:M23">IF(K4="◎",J4,"")</f>
      </c>
    </row>
    <row r="5" spans="1:13" ht="13.5" customHeight="1">
      <c r="A5" s="252"/>
      <c r="B5" s="391"/>
      <c r="C5" s="392"/>
      <c r="D5" s="255">
        <v>102</v>
      </c>
      <c r="E5" s="256"/>
      <c r="F5" s="257"/>
      <c r="G5" s="258"/>
      <c r="H5" s="259"/>
      <c r="I5" s="259"/>
      <c r="J5" s="260">
        <f>G5*H5*I5</f>
        <v>0</v>
      </c>
      <c r="K5" s="261"/>
      <c r="L5" s="262"/>
      <c r="M5" s="29">
        <f t="shared" si="0"/>
      </c>
    </row>
    <row r="6" spans="1:13" ht="13.5" customHeight="1">
      <c r="A6" s="252"/>
      <c r="B6" s="393"/>
      <c r="C6" s="392"/>
      <c r="D6" s="255">
        <v>103</v>
      </c>
      <c r="E6" s="256"/>
      <c r="F6" s="257"/>
      <c r="G6" s="258"/>
      <c r="H6" s="259"/>
      <c r="I6" s="259"/>
      <c r="J6" s="260">
        <f aca="true" t="shared" si="1" ref="J6:J23">G6*H6*I6</f>
        <v>0</v>
      </c>
      <c r="K6" s="261"/>
      <c r="L6" s="262"/>
      <c r="M6" s="29">
        <f t="shared" si="0"/>
      </c>
    </row>
    <row r="7" spans="1:13" ht="13.5" customHeight="1">
      <c r="A7" s="252"/>
      <c r="B7" s="393"/>
      <c r="C7" s="392"/>
      <c r="D7" s="255">
        <v>104</v>
      </c>
      <c r="E7" s="256"/>
      <c r="F7" s="257"/>
      <c r="G7" s="258"/>
      <c r="H7" s="259"/>
      <c r="I7" s="259"/>
      <c r="J7" s="260">
        <f t="shared" si="1"/>
        <v>0</v>
      </c>
      <c r="K7" s="261"/>
      <c r="L7" s="262"/>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602" t="s">
        <v>176</v>
      </c>
      <c r="I26" s="602"/>
      <c r="J26" s="602" t="s">
        <v>173</v>
      </c>
      <c r="K26" s="607"/>
    </row>
    <row r="27" spans="2:11" ht="13.5" customHeight="1" thickTop="1">
      <c r="B27" s="53"/>
      <c r="C27" s="53"/>
      <c r="D27" s="67"/>
      <c r="F27" s="297" t="s">
        <v>85</v>
      </c>
      <c r="G27" s="348">
        <f>SUMIF($E$4:$E$23,F27,$J$4:$J$23)</f>
        <v>0</v>
      </c>
      <c r="H27" s="565">
        <f>SUMIF($E$4:$E$23,F27,$M$4:$M$23)</f>
        <v>0</v>
      </c>
      <c r="I27" s="565"/>
      <c r="J27" s="565">
        <f aca="true" t="shared" si="2" ref="J27:J35">G27-H27</f>
        <v>0</v>
      </c>
      <c r="K27" s="646"/>
    </row>
    <row r="28" spans="2:11" ht="13.5" customHeight="1">
      <c r="B28" s="53"/>
      <c r="C28" s="53"/>
      <c r="D28" s="67"/>
      <c r="F28" s="298" t="s">
        <v>86</v>
      </c>
      <c r="G28" s="348">
        <f aca="true" t="shared" si="3" ref="G28:G35">SUMIF($E$4:$E$23,F28,$J$4:$J$23)</f>
        <v>0</v>
      </c>
      <c r="H28" s="573">
        <f aca="true" t="shared" si="4" ref="H28:H35">SUMIF($E$4:$E$23,F28,$M$4:$M$23)</f>
        <v>0</v>
      </c>
      <c r="I28" s="573"/>
      <c r="J28" s="573">
        <f t="shared" si="2"/>
        <v>0</v>
      </c>
      <c r="K28" s="576"/>
    </row>
    <row r="29" spans="2:11" ht="13.5" customHeight="1">
      <c r="B29" s="53"/>
      <c r="C29" s="53"/>
      <c r="D29" s="67"/>
      <c r="F29" s="298" t="s">
        <v>125</v>
      </c>
      <c r="G29" s="348">
        <f t="shared" si="3"/>
        <v>0</v>
      </c>
      <c r="H29" s="573">
        <f t="shared" si="4"/>
        <v>0</v>
      </c>
      <c r="I29" s="573"/>
      <c r="J29" s="573">
        <f t="shared" si="2"/>
        <v>0</v>
      </c>
      <c r="K29" s="576"/>
    </row>
    <row r="30" spans="2:11" ht="13.5" customHeight="1">
      <c r="B30" s="53"/>
      <c r="C30" s="53"/>
      <c r="D30" s="67"/>
      <c r="F30" s="298" t="s">
        <v>126</v>
      </c>
      <c r="G30" s="348">
        <f t="shared" si="3"/>
        <v>0</v>
      </c>
      <c r="H30" s="573">
        <f t="shared" si="4"/>
        <v>0</v>
      </c>
      <c r="I30" s="573"/>
      <c r="J30" s="573">
        <f t="shared" si="2"/>
        <v>0</v>
      </c>
      <c r="K30" s="576"/>
    </row>
    <row r="31" spans="2:11" ht="13.5" customHeight="1">
      <c r="B31" s="53"/>
      <c r="C31" s="53"/>
      <c r="D31" s="67"/>
      <c r="F31" s="298" t="s">
        <v>87</v>
      </c>
      <c r="G31" s="348">
        <f t="shared" si="3"/>
        <v>0</v>
      </c>
      <c r="H31" s="573">
        <f t="shared" si="4"/>
        <v>0</v>
      </c>
      <c r="I31" s="573"/>
      <c r="J31" s="573">
        <f t="shared" si="2"/>
        <v>0</v>
      </c>
      <c r="K31" s="576"/>
    </row>
    <row r="32" spans="2:11" ht="13.5" customHeight="1">
      <c r="B32" s="53"/>
      <c r="C32" s="53"/>
      <c r="D32" s="67"/>
      <c r="F32" s="298" t="s">
        <v>88</v>
      </c>
      <c r="G32" s="348">
        <f t="shared" si="3"/>
        <v>0</v>
      </c>
      <c r="H32" s="573">
        <f t="shared" si="4"/>
        <v>0</v>
      </c>
      <c r="I32" s="573"/>
      <c r="J32" s="573">
        <f t="shared" si="2"/>
        <v>0</v>
      </c>
      <c r="K32" s="576"/>
    </row>
    <row r="33" spans="2:11" ht="13.5" customHeight="1">
      <c r="B33" s="53"/>
      <c r="C33" s="53"/>
      <c r="D33" s="67"/>
      <c r="F33" s="298" t="s">
        <v>89</v>
      </c>
      <c r="G33" s="348">
        <f t="shared" si="3"/>
        <v>0</v>
      </c>
      <c r="H33" s="573">
        <f t="shared" si="4"/>
        <v>0</v>
      </c>
      <c r="I33" s="573"/>
      <c r="J33" s="573">
        <f t="shared" si="2"/>
        <v>0</v>
      </c>
      <c r="K33" s="576"/>
    </row>
    <row r="34" spans="2:11" ht="13.5" customHeight="1">
      <c r="B34" s="53"/>
      <c r="C34" s="53"/>
      <c r="D34" s="67"/>
      <c r="F34" s="298" t="s">
        <v>90</v>
      </c>
      <c r="G34" s="348">
        <f t="shared" si="3"/>
        <v>0</v>
      </c>
      <c r="H34" s="573">
        <f t="shared" si="4"/>
        <v>0</v>
      </c>
      <c r="I34" s="573"/>
      <c r="J34" s="573">
        <f t="shared" si="2"/>
        <v>0</v>
      </c>
      <c r="K34" s="576"/>
    </row>
    <row r="35" spans="2:11" ht="13.5" customHeight="1" thickBot="1">
      <c r="B35" s="53"/>
      <c r="C35" s="53"/>
      <c r="D35" s="67"/>
      <c r="F35" s="428" t="s">
        <v>138</v>
      </c>
      <c r="G35" s="430">
        <f t="shared" si="3"/>
        <v>0</v>
      </c>
      <c r="H35" s="617">
        <f t="shared" si="4"/>
        <v>0</v>
      </c>
      <c r="I35" s="617"/>
      <c r="J35" s="617">
        <f t="shared" si="2"/>
        <v>0</v>
      </c>
      <c r="K35" s="618"/>
    </row>
    <row r="36" spans="2:11" ht="13.5" customHeight="1" thickBot="1" thickTop="1">
      <c r="B36" s="53"/>
      <c r="C36" s="53"/>
      <c r="D36" s="47"/>
      <c r="F36" s="426" t="s">
        <v>15</v>
      </c>
      <c r="G36" s="357">
        <f>SUM(G27:G35)</f>
        <v>0</v>
      </c>
      <c r="H36" s="619">
        <f>SUM(H27:H35)</f>
        <v>0</v>
      </c>
      <c r="I36" s="619"/>
      <c r="J36" s="619">
        <f>SUM(J27:J35)</f>
        <v>0</v>
      </c>
      <c r="K36" s="62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30" operator="equal" stopIfTrue="1">
      <formula>0</formula>
    </cfRule>
  </conditionalFormatting>
  <conditionalFormatting sqref="J24">
    <cfRule type="cellIs" priority="2" dxfId="30" operator="equal" stopIfTrue="1">
      <formula>0</formula>
    </cfRule>
  </conditionalFormatting>
  <conditionalFormatting sqref="B2:C2">
    <cfRule type="cellIs" priority="1" dxfId="30"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35" t="s">
        <v>14</v>
      </c>
      <c r="I1" s="535"/>
      <c r="J1" s="535"/>
      <c r="K1" s="535"/>
    </row>
    <row r="2" spans="8:11" s="1" customFormat="1" ht="18" customHeight="1">
      <c r="H2" s="535" t="s">
        <v>7</v>
      </c>
      <c r="I2" s="535"/>
      <c r="J2" s="535"/>
      <c r="K2" s="535"/>
    </row>
    <row r="3" s="1" customFormat="1" ht="18" customHeight="1">
      <c r="K3" s="2"/>
    </row>
    <row r="4" spans="8:11" s="1" customFormat="1" ht="18" customHeight="1">
      <c r="H4" s="536" t="s">
        <v>6</v>
      </c>
      <c r="I4" s="536"/>
      <c r="J4" s="536"/>
      <c r="K4" s="536"/>
    </row>
    <row r="5" spans="8:11" s="1" customFormat="1" ht="18" customHeight="1">
      <c r="H5" s="536" t="s">
        <v>145</v>
      </c>
      <c r="I5" s="536"/>
      <c r="J5" s="536"/>
      <c r="K5" s="536"/>
    </row>
    <row r="6" spans="1:11" s="1" customFormat="1" ht="18" customHeight="1">
      <c r="A6" s="3" t="s">
        <v>2</v>
      </c>
      <c r="H6" s="4"/>
      <c r="K6" s="11"/>
    </row>
    <row r="7" spans="1:11" s="1" customFormat="1" ht="18" customHeight="1">
      <c r="A7" s="4"/>
      <c r="H7" s="536" t="s">
        <v>3</v>
      </c>
      <c r="I7" s="536"/>
      <c r="J7" s="536"/>
      <c r="K7" s="536"/>
    </row>
    <row r="8" spans="1:11" s="1" customFormat="1" ht="18" customHeight="1">
      <c r="A8" s="4"/>
      <c r="H8" s="536" t="s">
        <v>4</v>
      </c>
      <c r="I8" s="536"/>
      <c r="J8" s="536"/>
      <c r="K8" s="536"/>
    </row>
    <row r="9" spans="1:11" s="1" customFormat="1" ht="42" customHeight="1">
      <c r="A9" s="4"/>
      <c r="H9" s="2"/>
      <c r="K9" s="46"/>
    </row>
    <row r="10" spans="1:11" ht="24" customHeight="1">
      <c r="A10" s="539" t="s">
        <v>267</v>
      </c>
      <c r="B10" s="539"/>
      <c r="C10" s="539"/>
      <c r="D10" s="539"/>
      <c r="E10" s="539"/>
      <c r="F10" s="539"/>
      <c r="G10" s="539"/>
      <c r="H10" s="539"/>
      <c r="I10" s="539"/>
      <c r="J10" s="539"/>
      <c r="K10" s="539"/>
    </row>
    <row r="11" spans="1:11" ht="24" customHeight="1">
      <c r="A11" s="540"/>
      <c r="B11" s="540"/>
      <c r="C11" s="540"/>
      <c r="D11" s="540"/>
      <c r="E11" s="540"/>
      <c r="F11" s="540"/>
      <c r="G11" s="540"/>
      <c r="H11" s="540"/>
      <c r="I11" s="540"/>
      <c r="J11" s="540"/>
      <c r="K11" s="54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1" t="s">
        <v>84</v>
      </c>
      <c r="B14" s="542"/>
      <c r="C14" s="543"/>
      <c r="D14" s="544">
        <f>'1-1'!D14:F14</f>
        <v>1190000</v>
      </c>
      <c r="E14" s="545"/>
      <c r="F14" s="546"/>
      <c r="G14" s="615"/>
      <c r="H14" s="616"/>
      <c r="I14" s="616"/>
      <c r="J14" s="616"/>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145000</v>
      </c>
      <c r="C16" s="322">
        <f>'1-1'!C21</f>
        <v>50180</v>
      </c>
      <c r="D16" s="322">
        <f>'1-1'!D21</f>
        <v>878000</v>
      </c>
      <c r="E16" s="322">
        <f>'1-1'!E21</f>
        <v>0</v>
      </c>
      <c r="F16" s="322">
        <f>'1-1'!F21</f>
        <v>0</v>
      </c>
      <c r="G16" s="322">
        <f>'1-1'!G21</f>
        <v>0</v>
      </c>
      <c r="H16" s="322">
        <f>'1-1'!H21</f>
        <v>0</v>
      </c>
      <c r="I16" s="322">
        <f>'1-1'!I21</f>
        <v>0</v>
      </c>
      <c r="J16" s="435">
        <f>'1-1'!J21</f>
        <v>116820</v>
      </c>
      <c r="K16" s="436">
        <f aca="true" t="shared" si="0" ref="K16:K22">SUM(B16:J16)</f>
        <v>1190000</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4">
        <f>SUM(B16:B17)</f>
        <v>145000</v>
      </c>
      <c r="C20" s="224">
        <f aca="true" t="shared" si="2" ref="C20:J20">SUM(C16:C17)</f>
        <v>50180</v>
      </c>
      <c r="D20" s="224">
        <f t="shared" si="2"/>
        <v>878000</v>
      </c>
      <c r="E20" s="224">
        <f t="shared" si="2"/>
        <v>0</v>
      </c>
      <c r="F20" s="224">
        <f t="shared" si="2"/>
        <v>0</v>
      </c>
      <c r="G20" s="224">
        <f t="shared" si="2"/>
        <v>0</v>
      </c>
      <c r="H20" s="224">
        <f t="shared" si="2"/>
        <v>0</v>
      </c>
      <c r="I20" s="224">
        <f t="shared" si="2"/>
        <v>0</v>
      </c>
      <c r="J20" s="224">
        <f t="shared" si="2"/>
        <v>116820</v>
      </c>
      <c r="K20" s="433">
        <f t="shared" si="0"/>
        <v>1190000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145000</v>
      </c>
      <c r="C22" s="220">
        <f aca="true" t="shared" si="3" ref="C22:J22">SUM(C20:C21)</f>
        <v>50180</v>
      </c>
      <c r="D22" s="220">
        <f t="shared" si="3"/>
        <v>878000</v>
      </c>
      <c r="E22" s="220">
        <f t="shared" si="3"/>
        <v>0</v>
      </c>
      <c r="F22" s="220">
        <f t="shared" si="3"/>
        <v>0</v>
      </c>
      <c r="G22" s="220">
        <f t="shared" si="3"/>
        <v>0</v>
      </c>
      <c r="H22" s="220">
        <f t="shared" si="3"/>
        <v>0</v>
      </c>
      <c r="I22" s="220">
        <f t="shared" si="3"/>
        <v>0</v>
      </c>
      <c r="J22" s="220">
        <f t="shared" si="3"/>
        <v>116820</v>
      </c>
      <c r="K22" s="223">
        <f t="shared" si="0"/>
        <v>1190000</v>
      </c>
    </row>
    <row r="23" spans="1:11" ht="39" customHeight="1" thickBot="1">
      <c r="A23" s="32" t="s">
        <v>104</v>
      </c>
      <c r="B23" s="648" t="s">
        <v>136</v>
      </c>
      <c r="C23" s="649"/>
      <c r="D23" s="649"/>
      <c r="E23" s="649"/>
      <c r="F23" s="649"/>
      <c r="G23" s="649"/>
      <c r="H23" s="649"/>
      <c r="I23" s="649"/>
      <c r="J23" s="649"/>
      <c r="K23" s="65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2">
      <selection activeCell="F35" sqref="F3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0" t="s">
        <v>246</v>
      </c>
      <c r="I3" s="96" t="s">
        <v>92</v>
      </c>
      <c r="J3" s="96" t="s">
        <v>93</v>
      </c>
      <c r="K3" s="228" t="s">
        <v>111</v>
      </c>
      <c r="L3" s="408" t="s">
        <v>107</v>
      </c>
    </row>
    <row r="4" spans="1:13" ht="13.5" customHeight="1">
      <c r="A4" s="91"/>
      <c r="B4" s="67"/>
      <c r="C4" s="67"/>
      <c r="D4" s="409"/>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0" t="s">
        <v>246</v>
      </c>
      <c r="I20" s="96" t="s">
        <v>92</v>
      </c>
      <c r="J20" s="96" t="s">
        <v>93</v>
      </c>
      <c r="K20" s="228" t="s">
        <v>111</v>
      </c>
      <c r="L20" s="408" t="s">
        <v>107</v>
      </c>
    </row>
    <row r="21" spans="1:13" ht="14.25">
      <c r="A21" s="361"/>
      <c r="B21" s="242"/>
      <c r="C21" s="263"/>
      <c r="D21" s="400">
        <v>201</v>
      </c>
      <c r="E21" s="276"/>
      <c r="F21" s="276"/>
      <c r="G21" s="277"/>
      <c r="H21" s="278"/>
      <c r="I21" s="278"/>
      <c r="J21" s="401">
        <f>G21*H21*I21</f>
        <v>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248</v>
      </c>
      <c r="F36" s="653"/>
      <c r="G36" s="653"/>
    </row>
    <row r="37" spans="1:12" ht="24" customHeight="1" thickBot="1">
      <c r="A37" s="53"/>
      <c r="B37" s="53"/>
      <c r="C37" s="53"/>
      <c r="D37" s="53"/>
      <c r="E37" s="240" t="s">
        <v>96</v>
      </c>
      <c r="F37" s="230" t="s">
        <v>109</v>
      </c>
      <c r="G37" s="157" t="s">
        <v>16</v>
      </c>
      <c r="H37" s="654" t="s">
        <v>245</v>
      </c>
      <c r="I37" s="655"/>
      <c r="J37" s="230" t="s">
        <v>108</v>
      </c>
      <c r="K37" s="556" t="s">
        <v>193</v>
      </c>
      <c r="L37" s="632"/>
    </row>
    <row r="38" spans="1:12" ht="14.25" thickTop="1">
      <c r="A38" s="53"/>
      <c r="B38" s="53"/>
      <c r="C38" s="53"/>
      <c r="D38" s="53"/>
      <c r="E38" s="297" t="s">
        <v>85</v>
      </c>
      <c r="F38" s="348">
        <f>'1-1'!B21</f>
        <v>145000</v>
      </c>
      <c r="G38" s="350">
        <f aca="true" t="shared" si="3" ref="G38:G46">-SUMIF($E$4:$E$18,$E38,$J$4:$J$18)+SUMIF($E$21:$E$35,$E38,$J$21:$J$35)</f>
        <v>0</v>
      </c>
      <c r="H38" s="565">
        <f aca="true" t="shared" si="4" ref="H38:H46">-SUMIF($E$4:$E$18,$E38,$M$4:$M$18)+SUMIF($E$21:$E$35,$E38,$M$21:$M$35)</f>
        <v>0</v>
      </c>
      <c r="I38" s="565"/>
      <c r="J38" s="349">
        <f aca="true" t="shared" si="5" ref="J38:J46">G38-H38</f>
        <v>0</v>
      </c>
      <c r="K38" s="565">
        <f aca="true" t="shared" si="6" ref="K38:K46">F38+G38</f>
        <v>145000</v>
      </c>
      <c r="L38" s="646"/>
    </row>
    <row r="39" spans="1:12" ht="13.5">
      <c r="A39" s="53"/>
      <c r="B39" s="53"/>
      <c r="C39" s="53"/>
      <c r="D39" s="53"/>
      <c r="E39" s="298" t="s">
        <v>86</v>
      </c>
      <c r="F39" s="352">
        <f>'1-1'!C21</f>
        <v>50180</v>
      </c>
      <c r="G39" s="350">
        <f t="shared" si="3"/>
        <v>0</v>
      </c>
      <c r="H39" s="573">
        <f t="shared" si="4"/>
        <v>0</v>
      </c>
      <c r="I39" s="573"/>
      <c r="J39" s="352">
        <f t="shared" si="5"/>
        <v>0</v>
      </c>
      <c r="K39" s="573">
        <f t="shared" si="6"/>
        <v>50180</v>
      </c>
      <c r="L39" s="576"/>
    </row>
    <row r="40" spans="1:12" ht="13.5">
      <c r="A40" s="53"/>
      <c r="B40" s="53"/>
      <c r="C40" s="53"/>
      <c r="D40" s="53"/>
      <c r="E40" s="298" t="s">
        <v>125</v>
      </c>
      <c r="F40" s="352">
        <f>'1-1'!D21</f>
        <v>878000</v>
      </c>
      <c r="G40" s="350">
        <f t="shared" si="3"/>
        <v>0</v>
      </c>
      <c r="H40" s="573">
        <f t="shared" si="4"/>
        <v>0</v>
      </c>
      <c r="I40" s="573"/>
      <c r="J40" s="352">
        <f t="shared" si="5"/>
        <v>0</v>
      </c>
      <c r="K40" s="573">
        <f t="shared" si="6"/>
        <v>878000</v>
      </c>
      <c r="L40" s="576"/>
    </row>
    <row r="41" spans="1:12" ht="13.5">
      <c r="A41" s="53"/>
      <c r="B41" s="53"/>
      <c r="C41" s="53"/>
      <c r="D41" s="53"/>
      <c r="E41" s="298" t="s">
        <v>126</v>
      </c>
      <c r="F41" s="352">
        <f>'1-1'!E21</f>
        <v>0</v>
      </c>
      <c r="G41" s="350">
        <f t="shared" si="3"/>
        <v>0</v>
      </c>
      <c r="H41" s="573">
        <f t="shared" si="4"/>
        <v>0</v>
      </c>
      <c r="I41" s="573"/>
      <c r="J41" s="352">
        <f t="shared" si="5"/>
        <v>0</v>
      </c>
      <c r="K41" s="573">
        <f t="shared" si="6"/>
        <v>0</v>
      </c>
      <c r="L41" s="576"/>
    </row>
    <row r="42" spans="1:12" ht="13.5">
      <c r="A42" s="53"/>
      <c r="B42" s="53"/>
      <c r="C42" s="53"/>
      <c r="D42" s="53"/>
      <c r="E42" s="298" t="s">
        <v>87</v>
      </c>
      <c r="F42" s="352">
        <f>'1-1'!F21</f>
        <v>0</v>
      </c>
      <c r="G42" s="350">
        <f t="shared" si="3"/>
        <v>0</v>
      </c>
      <c r="H42" s="573">
        <f t="shared" si="4"/>
        <v>0</v>
      </c>
      <c r="I42" s="573"/>
      <c r="J42" s="352">
        <f t="shared" si="5"/>
        <v>0</v>
      </c>
      <c r="K42" s="573">
        <f t="shared" si="6"/>
        <v>0</v>
      </c>
      <c r="L42" s="576"/>
    </row>
    <row r="43" spans="1:12" ht="13.5">
      <c r="A43" s="53"/>
      <c r="B43" s="53"/>
      <c r="C43" s="53"/>
      <c r="D43" s="53"/>
      <c r="E43" s="298" t="s">
        <v>88</v>
      </c>
      <c r="F43" s="352">
        <f>'1-1'!G21</f>
        <v>0</v>
      </c>
      <c r="G43" s="350">
        <f t="shared" si="3"/>
        <v>0</v>
      </c>
      <c r="H43" s="573">
        <f t="shared" si="4"/>
        <v>0</v>
      </c>
      <c r="I43" s="573"/>
      <c r="J43" s="352">
        <f t="shared" si="5"/>
        <v>0</v>
      </c>
      <c r="K43" s="573">
        <f t="shared" si="6"/>
        <v>0</v>
      </c>
      <c r="L43" s="576"/>
    </row>
    <row r="44" spans="1:12" ht="13.5">
      <c r="A44" s="53"/>
      <c r="B44" s="53"/>
      <c r="C44" s="53"/>
      <c r="D44" s="53"/>
      <c r="E44" s="298" t="s">
        <v>89</v>
      </c>
      <c r="F44" s="352">
        <f>'1-1'!H21</f>
        <v>0</v>
      </c>
      <c r="G44" s="350">
        <f t="shared" si="3"/>
        <v>0</v>
      </c>
      <c r="H44" s="573">
        <f t="shared" si="4"/>
        <v>0</v>
      </c>
      <c r="I44" s="573"/>
      <c r="J44" s="352">
        <f t="shared" si="5"/>
        <v>0</v>
      </c>
      <c r="K44" s="573">
        <f t="shared" si="6"/>
        <v>0</v>
      </c>
      <c r="L44" s="576"/>
    </row>
    <row r="45" spans="1:12" ht="13.5">
      <c r="A45" s="53"/>
      <c r="B45" s="53"/>
      <c r="C45" s="53"/>
      <c r="D45" s="53"/>
      <c r="E45" s="298" t="s">
        <v>90</v>
      </c>
      <c r="F45" s="352">
        <f>'1-1'!I21</f>
        <v>0</v>
      </c>
      <c r="G45" s="350">
        <f t="shared" si="3"/>
        <v>0</v>
      </c>
      <c r="H45" s="573">
        <f t="shared" si="4"/>
        <v>0</v>
      </c>
      <c r="I45" s="573"/>
      <c r="J45" s="352">
        <f t="shared" si="5"/>
        <v>0</v>
      </c>
      <c r="K45" s="573">
        <f t="shared" si="6"/>
        <v>0</v>
      </c>
      <c r="L45" s="576"/>
    </row>
    <row r="46" spans="1:12" ht="14.25" thickBot="1">
      <c r="A46" s="53"/>
      <c r="B46" s="53"/>
      <c r="C46" s="53"/>
      <c r="D46" s="53"/>
      <c r="E46" s="298" t="s">
        <v>138</v>
      </c>
      <c r="F46" s="398">
        <f>'1-1'!J21</f>
        <v>116820</v>
      </c>
      <c r="G46" s="350">
        <f t="shared" si="3"/>
        <v>0</v>
      </c>
      <c r="H46" s="617">
        <f t="shared" si="4"/>
        <v>0</v>
      </c>
      <c r="I46" s="617"/>
      <c r="J46" s="353">
        <f t="shared" si="5"/>
        <v>0</v>
      </c>
      <c r="K46" s="617">
        <f t="shared" si="6"/>
        <v>116820</v>
      </c>
      <c r="L46" s="618"/>
    </row>
    <row r="47" spans="1:12" ht="15" thickBot="1" thickTop="1">
      <c r="A47" s="53"/>
      <c r="B47" s="53"/>
      <c r="C47" s="53"/>
      <c r="D47" s="53"/>
      <c r="E47" s="399" t="s">
        <v>15</v>
      </c>
      <c r="F47" s="355">
        <f>SUM(F38:F46)</f>
        <v>1190000</v>
      </c>
      <c r="G47" s="356">
        <f>SUM(G38:G46)</f>
        <v>0</v>
      </c>
      <c r="H47" s="651">
        <f>SUM(H38:I46)</f>
        <v>0</v>
      </c>
      <c r="I47" s="652"/>
      <c r="J47" s="357">
        <f>SUM(J38:J46)</f>
        <v>0</v>
      </c>
      <c r="K47" s="651">
        <f>SUM(K38:L46)</f>
        <v>1190000</v>
      </c>
      <c r="L47" s="65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30" operator="equal" stopIfTrue="1">
      <formula>0</formula>
    </cfRule>
  </conditionalFormatting>
  <conditionalFormatting sqref="J21:J35 E4:L18">
    <cfRule type="cellIs" priority="6" dxfId="30" operator="equal" stopIfTrue="1">
      <formula>0</formula>
    </cfRule>
  </conditionalFormatting>
  <conditionalFormatting sqref="B2:D2">
    <cfRule type="cellIs" priority="2" dxfId="30"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1" sqref="H1: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35" t="s">
        <v>279</v>
      </c>
      <c r="I1" s="535"/>
      <c r="J1" s="535"/>
      <c r="K1" s="535"/>
    </row>
    <row r="2" spans="8:11" s="1" customFormat="1" ht="18" customHeight="1">
      <c r="H2" s="535" t="s">
        <v>280</v>
      </c>
      <c r="I2" s="535"/>
      <c r="J2" s="535"/>
      <c r="K2" s="535"/>
    </row>
    <row r="3" s="1" customFormat="1" ht="18" customHeight="1">
      <c r="K3" s="2"/>
    </row>
    <row r="4" spans="8:11" s="1" customFormat="1" ht="18" customHeight="1">
      <c r="H4" s="536" t="s">
        <v>391</v>
      </c>
      <c r="I4" s="536"/>
      <c r="J4" s="536"/>
      <c r="K4" s="536"/>
    </row>
    <row r="5" spans="8:11" s="1" customFormat="1" ht="18" customHeight="1">
      <c r="H5" s="537">
        <v>43139</v>
      </c>
      <c r="I5" s="536"/>
      <c r="J5" s="536"/>
      <c r="K5" s="536"/>
    </row>
    <row r="6" spans="1:11" s="1" customFormat="1" ht="18" customHeight="1">
      <c r="A6" s="3" t="s">
        <v>2</v>
      </c>
      <c r="H6" s="4"/>
      <c r="K6" s="11"/>
    </row>
    <row r="7" spans="1:11" s="1" customFormat="1" ht="18" customHeight="1">
      <c r="A7" s="4"/>
      <c r="H7" s="538"/>
      <c r="I7" s="538"/>
      <c r="J7" s="538"/>
      <c r="K7" s="538"/>
    </row>
    <row r="8" spans="1:11" s="1" customFormat="1" ht="18" customHeight="1">
      <c r="A8" s="4"/>
      <c r="H8" s="538" t="s">
        <v>278</v>
      </c>
      <c r="I8" s="538"/>
      <c r="J8" s="538"/>
      <c r="K8" s="538"/>
    </row>
    <row r="9" spans="1:11" s="1" customFormat="1" ht="42" customHeight="1">
      <c r="A9" s="4"/>
      <c r="H9" s="2"/>
      <c r="K9" s="46"/>
    </row>
    <row r="10" spans="1:11" ht="24" customHeight="1">
      <c r="A10" s="539" t="s">
        <v>269</v>
      </c>
      <c r="B10" s="539"/>
      <c r="C10" s="539"/>
      <c r="D10" s="539"/>
      <c r="E10" s="539"/>
      <c r="F10" s="539"/>
      <c r="G10" s="539"/>
      <c r="H10" s="539"/>
      <c r="I10" s="539"/>
      <c r="J10" s="539"/>
      <c r="K10" s="539"/>
    </row>
    <row r="11" spans="1:11" ht="24" customHeight="1">
      <c r="A11" s="540"/>
      <c r="B11" s="540"/>
      <c r="C11" s="540"/>
      <c r="D11" s="540"/>
      <c r="E11" s="540"/>
      <c r="F11" s="540"/>
      <c r="G11" s="540"/>
      <c r="H11" s="540"/>
      <c r="I11" s="540"/>
      <c r="J11" s="540"/>
      <c r="K11" s="54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1" t="s">
        <v>84</v>
      </c>
      <c r="B14" s="542"/>
      <c r="C14" s="543"/>
      <c r="D14" s="544">
        <f>'1-1'!D14:F14</f>
        <v>1190000</v>
      </c>
      <c r="E14" s="545"/>
      <c r="F14" s="546"/>
      <c r="G14" s="615"/>
      <c r="H14" s="616"/>
      <c r="I14" s="616"/>
      <c r="J14" s="61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51000</v>
      </c>
      <c r="C16" s="434">
        <f>'2-1'!C23</f>
        <v>9950</v>
      </c>
      <c r="D16" s="434">
        <f>'2-1'!D23</f>
        <v>761794</v>
      </c>
      <c r="E16" s="434">
        <f>'2-1'!E23</f>
        <v>0</v>
      </c>
      <c r="F16" s="434">
        <f>'2-1'!F23</f>
        <v>0</v>
      </c>
      <c r="G16" s="434">
        <f>'2-1'!G23</f>
        <v>0</v>
      </c>
      <c r="H16" s="434">
        <f>'2-1'!H23</f>
        <v>0</v>
      </c>
      <c r="I16" s="434">
        <f>'2-1'!I23</f>
        <v>117720</v>
      </c>
      <c r="J16" s="434">
        <f>'2-1'!J23</f>
        <v>39920</v>
      </c>
      <c r="K16" s="436">
        <f aca="true" t="shared" si="0" ref="K16:K23">SUM(B16:J16)</f>
        <v>980384</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51000</v>
      </c>
      <c r="C18" s="437">
        <f aca="true" t="shared" si="1" ref="C18:J18">C16-C17</f>
        <v>9950</v>
      </c>
      <c r="D18" s="437">
        <f t="shared" si="1"/>
        <v>761794</v>
      </c>
      <c r="E18" s="437">
        <f t="shared" si="1"/>
        <v>0</v>
      </c>
      <c r="F18" s="437">
        <f t="shared" si="1"/>
        <v>0</v>
      </c>
      <c r="G18" s="437">
        <f t="shared" si="1"/>
        <v>0</v>
      </c>
      <c r="H18" s="437">
        <f t="shared" si="1"/>
        <v>0</v>
      </c>
      <c r="I18" s="437">
        <f t="shared" si="1"/>
        <v>117720</v>
      </c>
      <c r="J18" s="437">
        <f t="shared" si="1"/>
        <v>39920</v>
      </c>
      <c r="K18" s="440">
        <f t="shared" si="0"/>
        <v>980384</v>
      </c>
    </row>
    <row r="19" spans="1:11" ht="39" customHeight="1">
      <c r="A19" s="21" t="s">
        <v>16</v>
      </c>
      <c r="B19" s="434">
        <f>'随時③-2'!G83</f>
        <v>-51000</v>
      </c>
      <c r="C19" s="322">
        <f>'随時③-2'!G84</f>
        <v>-9950</v>
      </c>
      <c r="D19" s="322">
        <f>'随時③-2'!G85</f>
        <v>157926</v>
      </c>
      <c r="E19" s="322">
        <f>'随時③-2'!G86</f>
        <v>0</v>
      </c>
      <c r="F19" s="322">
        <f>'随時③-2'!G87</f>
        <v>0</v>
      </c>
      <c r="G19" s="322">
        <f>'随時③-2'!G88</f>
        <v>0</v>
      </c>
      <c r="H19" s="322">
        <f>'随時③-2'!G89</f>
        <v>0</v>
      </c>
      <c r="I19" s="322">
        <f>'随時③-2'!G90</f>
        <v>-117720</v>
      </c>
      <c r="J19" s="435">
        <f>'随時③-2'!G91</f>
        <v>0</v>
      </c>
      <c r="K19" s="436">
        <f t="shared" si="0"/>
        <v>-20744</v>
      </c>
    </row>
    <row r="20" spans="1:11" ht="39" customHeight="1" thickBot="1">
      <c r="A20" s="43" t="s">
        <v>178</v>
      </c>
      <c r="B20" s="449">
        <f>'随時③-2'!H83</f>
        <v>0</v>
      </c>
      <c r="C20" s="449">
        <f>'随時③-2'!H84</f>
        <v>0</v>
      </c>
      <c r="D20" s="449">
        <f>'随時③-2'!H85</f>
        <v>0</v>
      </c>
      <c r="E20" s="449">
        <f>'随時③-2'!H86</f>
        <v>0</v>
      </c>
      <c r="F20" s="449">
        <f>'随時③-2'!H87</f>
        <v>0</v>
      </c>
      <c r="G20" s="449">
        <f>'随時③-2'!H88</f>
        <v>0</v>
      </c>
      <c r="H20" s="449">
        <f>'随時③-2'!H89</f>
        <v>0</v>
      </c>
      <c r="I20" s="449">
        <f>'随時③-2'!H90</f>
        <v>0</v>
      </c>
      <c r="J20" s="449">
        <f>'随時③-2'!H91</f>
        <v>0</v>
      </c>
      <c r="K20" s="450">
        <f t="shared" si="0"/>
        <v>0</v>
      </c>
    </row>
    <row r="21" spans="1:11" ht="39" customHeight="1" thickBot="1">
      <c r="A21" s="32" t="s">
        <v>110</v>
      </c>
      <c r="B21" s="441">
        <f>B19-B20</f>
        <v>-51000</v>
      </c>
      <c r="C21" s="441">
        <f aca="true" t="shared" si="2" ref="C21:J21">C19-C20</f>
        <v>-9950</v>
      </c>
      <c r="D21" s="441">
        <f t="shared" si="2"/>
        <v>157926</v>
      </c>
      <c r="E21" s="441">
        <f t="shared" si="2"/>
        <v>0</v>
      </c>
      <c r="F21" s="441">
        <f t="shared" si="2"/>
        <v>0</v>
      </c>
      <c r="G21" s="441">
        <f t="shared" si="2"/>
        <v>0</v>
      </c>
      <c r="H21" s="441">
        <f t="shared" si="2"/>
        <v>0</v>
      </c>
      <c r="I21" s="441">
        <f t="shared" si="2"/>
        <v>-117720</v>
      </c>
      <c r="J21" s="441">
        <f t="shared" si="2"/>
        <v>0</v>
      </c>
      <c r="K21" s="443">
        <f t="shared" si="0"/>
        <v>-20744</v>
      </c>
    </row>
    <row r="22" spans="1:11" ht="39" customHeight="1">
      <c r="A22" s="30" t="s">
        <v>169</v>
      </c>
      <c r="B22" s="224">
        <f>B16+B19</f>
        <v>0</v>
      </c>
      <c r="C22" s="224">
        <f aca="true" t="shared" si="3" ref="C22:J22">C16+C19</f>
        <v>0</v>
      </c>
      <c r="D22" s="224">
        <f t="shared" si="3"/>
        <v>919720</v>
      </c>
      <c r="E22" s="224">
        <f t="shared" si="3"/>
        <v>0</v>
      </c>
      <c r="F22" s="224">
        <f t="shared" si="3"/>
        <v>0</v>
      </c>
      <c r="G22" s="224">
        <f t="shared" si="3"/>
        <v>0</v>
      </c>
      <c r="H22" s="224">
        <f t="shared" si="3"/>
        <v>0</v>
      </c>
      <c r="I22" s="224">
        <f t="shared" si="3"/>
        <v>0</v>
      </c>
      <c r="J22" s="224">
        <f t="shared" si="3"/>
        <v>39920</v>
      </c>
      <c r="K22" s="433">
        <f t="shared" si="0"/>
        <v>959640</v>
      </c>
    </row>
    <row r="23" spans="1:11" ht="39" customHeight="1" thickBot="1">
      <c r="A23" s="22" t="s">
        <v>170</v>
      </c>
      <c r="B23" s="220">
        <f>'2-1'!B19+'随時③-1'!B22</f>
        <v>94000</v>
      </c>
      <c r="C23" s="220">
        <f>'2-1'!C19+'随時③-1'!C22</f>
        <v>4240</v>
      </c>
      <c r="D23" s="220">
        <f>'2-1'!D19+'随時③-1'!D22</f>
        <v>919720</v>
      </c>
      <c r="E23" s="220">
        <f>'2-1'!E19+'随時③-1'!E22</f>
        <v>0</v>
      </c>
      <c r="F23" s="220">
        <f>'2-1'!F19+'随時③-1'!F22</f>
        <v>0</v>
      </c>
      <c r="G23" s="220">
        <f>'2-1'!G19+'随時③-1'!G22</f>
        <v>0</v>
      </c>
      <c r="H23" s="220">
        <f>'2-1'!H19+'随時③-1'!H22</f>
        <v>0</v>
      </c>
      <c r="I23" s="220">
        <f>'2-1'!I19+'随時③-1'!I22</f>
        <v>0</v>
      </c>
      <c r="J23" s="220">
        <f>'2-1'!J19+'随時③-1'!J22</f>
        <v>111090</v>
      </c>
      <c r="K23" s="223">
        <f t="shared" si="0"/>
        <v>1129050</v>
      </c>
    </row>
    <row r="24" spans="1:11" ht="39" customHeight="1" thickBot="1">
      <c r="A24" s="32" t="s">
        <v>104</v>
      </c>
      <c r="B24" s="657" t="s">
        <v>122</v>
      </c>
      <c r="C24" s="592"/>
      <c r="D24" s="592"/>
      <c r="E24" s="592"/>
      <c r="F24" s="592"/>
      <c r="G24" s="592"/>
      <c r="H24" s="592"/>
      <c r="I24" s="592"/>
      <c r="J24" s="592"/>
      <c r="K24" s="59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82"/>
  <sheetViews>
    <sheetView showZeros="0" view="pageBreakPreview" zoomScaleSheetLayoutView="100" workbookViewId="0" topLeftCell="A1">
      <selection activeCell="F70" sqref="F7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0" t="s">
        <v>246</v>
      </c>
      <c r="I3" s="96" t="s">
        <v>92</v>
      </c>
      <c r="J3" s="96" t="s">
        <v>93</v>
      </c>
      <c r="K3" s="228" t="s">
        <v>111</v>
      </c>
      <c r="L3" s="296" t="s">
        <v>107</v>
      </c>
    </row>
    <row r="4" spans="1:13" ht="14.25">
      <c r="A4" s="91"/>
      <c r="B4" s="67"/>
      <c r="C4" s="67"/>
      <c r="D4" s="409">
        <v>303</v>
      </c>
      <c r="E4" s="316" t="str">
        <f>IF($D4="","",IF($D4&lt;=100,VLOOKUP($D4,'1-2'!$D$4:$L$103,2),IF($D4&lt;=200,VLOOKUP($D4,'随時①-2'!$D$4:$L$23,2),IF($D4&lt;=300,VLOOKUP($D4,'随時②-2'!$D$21:$L$35,2),VLOOKUP($D4,'2-4'!$D$4:$L$103,2)))))</f>
        <v>報償費</v>
      </c>
      <c r="F4" s="316" t="str">
        <f>IF($D4="","",IF($D4&lt;=100,VLOOKUP($D4,'1-2'!$D$4:$L$103,3),IF($D4&lt;=200,VLOOKUP($D4,'随時①-2'!$D$4:$L$23,3),IF($D4&lt;=300,VLOOKUP($D4,'随時②-2'!$D$21:$L$35,3),VLOOKUP($D4,'2-4'!$D$4:$L$103,3)))))</f>
        <v>支援教育研修会講師謝金（教員対象）</v>
      </c>
      <c r="G4" s="225">
        <f>IF($D4="","",IF($D4&lt;=100,VLOOKUP($D4,'1-2'!$D$4:$L$103,4),IF($D4&lt;=200,VLOOKUP($D4,'随時①-2'!$D$4:$L$23,4),IF($D4&lt;=300,VLOOKUP($D4,'随時②-2'!$D$21:$L$35,4),VLOOKUP($D4,'2-4'!$D$4:$L$103,4)))))</f>
        <v>51000</v>
      </c>
      <c r="H4" s="317">
        <f>IF($D4="","",IF($D4&lt;=100,VLOOKUP($D4,'1-2'!$D$4:$L$103,5),IF($D4&lt;=200,VLOOKUP($D4,'随時①-2'!$D$4:$L$23,5),IF($D4&lt;=300,VLOOKUP($D4,'随時②-2'!$D$21:$L$35,5),VLOOKUP($D4,'2-4'!$D$4:$L$103,5)))))</f>
        <v>1</v>
      </c>
      <c r="I4" s="317">
        <f>IF($D4="","",IF($D4&lt;=100,VLOOKUP($D4,'1-2'!$D$4:$L$103,6),IF($D4&lt;=200,VLOOKUP($D4,'随時①-2'!$D$4:$L$23,6),IF($D4&lt;=300,VLOOKUP($D4,'随時②-2'!$D$21:$L$35,6),VLOOKUP($D4,'2-4'!$D$4:$L$103,6)))))</f>
        <v>1</v>
      </c>
      <c r="J4" s="225">
        <f>IF($D4="","",IF($D4&lt;=100,VLOOKUP($D4,'1-2'!$D$4:$L$103,7),IF($D4&lt;=200,VLOOKUP($D4,'随時①-2'!$D$4:$L$23,7),IF($D4&lt;=300,VLOOKUP($D4,'随時②-2'!$D$21:$L$35,7),VLOOKUP($D4,'2-4'!$D$4:$L$103,7)))))</f>
        <v>51000</v>
      </c>
      <c r="K4" s="316">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7">IF(K4="◎",J4,"")</f>
      </c>
    </row>
    <row r="5" spans="1:13" ht="14.25">
      <c r="A5" s="91"/>
      <c r="B5" s="67"/>
      <c r="C5" s="67"/>
      <c r="D5" s="412">
        <v>304</v>
      </c>
      <c r="E5" s="316" t="str">
        <f>IF($D5="","",IF($D5&lt;=100,VLOOKUP($D5,'1-2'!$D$4:$L$103,2),IF($D5&lt;=200,VLOOKUP($D5,'随時①-2'!$D$4:$L$23,2),IF($D5&lt;=300,VLOOKUP($D5,'随時②-2'!$D$21:$L$35,2),VLOOKUP($D5,'2-4'!$D$4:$L$103,2)))))</f>
        <v>旅費</v>
      </c>
      <c r="F5" s="316" t="str">
        <f>IF($D5="","",IF($D5&lt;=100,VLOOKUP($D5,'1-2'!$D$4:$L$103,3),IF($D5&lt;=200,VLOOKUP($D5,'随時①-2'!$D$4:$L$23,3),IF($D5&lt;=300,VLOOKUP($D5,'随時②-2'!$D$21:$L$35,3),VLOOKUP($D5,'2-4'!$D$4:$L$103,3)))))</f>
        <v>講師旅費</v>
      </c>
      <c r="G5" s="225">
        <f>IF($D5="","",IF($D5&lt;=100,VLOOKUP($D5,'1-2'!$D$4:$L$103,4),IF($D5&lt;=200,VLOOKUP($D5,'随時①-2'!$D$4:$L$23,4),IF($D5&lt;=300,VLOOKUP($D5,'随時②-2'!$D$21:$L$35,4),VLOOKUP($D5,'2-4'!$D$4:$L$103,4)))))</f>
        <v>9950</v>
      </c>
      <c r="H5" s="317">
        <f>IF($D5="","",IF($D5&lt;=100,VLOOKUP($D5,'1-2'!$D$4:$L$103,5),IF($D5&lt;=200,VLOOKUP($D5,'随時①-2'!$D$4:$L$23,5),IF($D5&lt;=300,VLOOKUP($D5,'随時②-2'!$D$21:$L$35,5),VLOOKUP($D5,'2-4'!$D$4:$L$103,5)))))</f>
        <v>1</v>
      </c>
      <c r="I5" s="317">
        <f>IF($D5="","",IF($D5&lt;=100,VLOOKUP($D5,'1-2'!$D$4:$L$103,6),IF($D5&lt;=200,VLOOKUP($D5,'随時①-2'!$D$4:$L$23,6),IF($D5&lt;=300,VLOOKUP($D5,'随時②-2'!$D$21:$L$35,6),VLOOKUP($D5,'2-4'!$D$4:$L$103,6)))))</f>
        <v>1</v>
      </c>
      <c r="J5" s="225">
        <f>IF($D5="","",IF($D5&lt;=100,VLOOKUP($D5,'1-2'!$D$4:$L$103,7),IF($D5&lt;=200,VLOOKUP($D5,'随時①-2'!$D$4:$L$23,7),IF($D5&lt;=300,VLOOKUP($D5,'随時②-2'!$D$21:$L$35,7),VLOOKUP($D5,'2-4'!$D$4:$L$103,7)))))</f>
        <v>9950</v>
      </c>
      <c r="K5" s="316">
        <f>IF($D5="","",IF($D5&lt;=100,VLOOKUP($D5,'1-2'!$D$4:$L$103,8),IF($D5&lt;=200,VLOOKUP($D5,'随時①-2'!$D$4:$L$23,8),IF($D5&lt;=300,VLOOKUP($D5,'随時②-2'!$D$21:$L$35,8),VLOOKUP($D5,'2-4'!$D$4:$L$103,8)))))</f>
        <v>0</v>
      </c>
      <c r="L5" s="418">
        <f>IF($D5="","",IF($D5&lt;=100,VLOOKUP($D5,'1-2'!$D$4:$L$103,9),IF($D5&lt;=200,VLOOKUP($D5,'随時①-2'!$D$4:$L$23,9),IF($D5&lt;=300,VLOOKUP($D5,'随時②-2'!$D$21:$L$35,9),VLOOKUP($D5,'2-4'!$D$4:$L$103,9)))))</f>
        <v>0</v>
      </c>
      <c r="M5" s="5">
        <f t="shared" si="0"/>
      </c>
    </row>
    <row r="6" spans="1:13" ht="14.25">
      <c r="A6" s="91"/>
      <c r="B6" s="67"/>
      <c r="C6" s="67"/>
      <c r="D6" s="412">
        <v>305</v>
      </c>
      <c r="E6" s="316" t="str">
        <f>IF($D6="","",IF($D6&lt;=100,VLOOKUP($D6,'1-2'!$D$4:$L$103,2),IF($D6&lt;=200,VLOOKUP($D6,'随時①-2'!$D$4:$L$23,2),IF($D6&lt;=300,VLOOKUP($D6,'随時②-2'!$D$21:$L$35,2),VLOOKUP($D6,'2-4'!$D$4:$L$103,2)))))</f>
        <v>備品購入費</v>
      </c>
      <c r="F6" s="316" t="str">
        <f>IF($D6="","",IF($D6&lt;=100,VLOOKUP($D6,'1-2'!$D$4:$L$103,3),IF($D6&lt;=200,VLOOKUP($D6,'随時①-2'!$D$4:$L$23,3),IF($D6&lt;=300,VLOOKUP($D6,'随時②-2'!$D$21:$L$35,3),VLOOKUP($D6,'2-4'!$D$4:$L$103,3)))))</f>
        <v>箱庭用具</v>
      </c>
      <c r="G6" s="225">
        <f>IF($D6="","",IF($D6&lt;=100,VLOOKUP($D6,'1-2'!$D$4:$L$103,4),IF($D6&lt;=200,VLOOKUP($D6,'随時①-2'!$D$4:$L$23,4),IF($D6&lt;=300,VLOOKUP($D6,'随時②-2'!$D$21:$L$35,4),VLOOKUP($D6,'2-4'!$D$4:$L$103,4)))))</f>
        <v>117720</v>
      </c>
      <c r="H6" s="317">
        <f>IF($D6="","",IF($D6&lt;=100,VLOOKUP($D6,'1-2'!$D$4:$L$103,5),IF($D6&lt;=200,VLOOKUP($D6,'随時①-2'!$D$4:$L$23,5),IF($D6&lt;=300,VLOOKUP($D6,'随時②-2'!$D$21:$L$35,5),VLOOKUP($D6,'2-4'!$D$4:$L$103,5)))))</f>
        <v>1</v>
      </c>
      <c r="I6" s="317">
        <f>IF($D6="","",IF($D6&lt;=100,VLOOKUP($D6,'1-2'!$D$4:$L$103,6),IF($D6&lt;=200,VLOOKUP($D6,'随時①-2'!$D$4:$L$23,6),IF($D6&lt;=300,VLOOKUP($D6,'随時②-2'!$D$21:$L$35,6),VLOOKUP($D6,'2-4'!$D$4:$L$103,6)))))</f>
        <v>1</v>
      </c>
      <c r="J6" s="225">
        <f>IF($D6="","",IF($D6&lt;=100,VLOOKUP($D6,'1-2'!$D$4:$L$103,7),IF($D6&lt;=200,VLOOKUP($D6,'随時①-2'!$D$4:$L$23,7),IF($D6&lt;=300,VLOOKUP($D6,'随時②-2'!$D$21:$L$35,7),VLOOKUP($D6,'2-4'!$D$4:$L$103,7)))))</f>
        <v>117720</v>
      </c>
      <c r="K6" s="316">
        <f>IF($D6="","",IF($D6&lt;=100,VLOOKUP($D6,'1-2'!$D$4:$L$103,8),IF($D6&lt;=200,VLOOKUP($D6,'随時①-2'!$D$4:$L$23,8),IF($D6&lt;=300,VLOOKUP($D6,'随時②-2'!$D$21:$L$35,8),VLOOKUP($D6,'2-4'!$D$4:$L$103,8)))))</f>
        <v>0</v>
      </c>
      <c r="L6" s="418">
        <f>IF($D6="","",IF($D6&lt;=100,VLOOKUP($D6,'1-2'!$D$4:$L$103,9),IF($D6&lt;=200,VLOOKUP($D6,'随時①-2'!$D$4:$L$23,9),IF($D6&lt;=300,VLOOKUP($D6,'随時②-2'!$D$21:$L$35,9),VLOOKUP($D6,'2-4'!$D$4:$L$103,9)))))</f>
        <v>0</v>
      </c>
      <c r="M6" s="5">
        <f t="shared" si="0"/>
      </c>
    </row>
    <row r="7" spans="1:13" ht="14.25">
      <c r="A7" s="91"/>
      <c r="B7" s="67"/>
      <c r="C7" s="67"/>
      <c r="D7" s="412">
        <v>306</v>
      </c>
      <c r="E7" s="316" t="str">
        <f>IF($D7="","",IF($D7&lt;=100,VLOOKUP($D7,'1-2'!$D$4:$L$103,2),IF($D7&lt;=200,VLOOKUP($D7,'随時①-2'!$D$4:$L$23,2),IF($D7&lt;=300,VLOOKUP($D7,'随時②-2'!$D$21:$L$35,2),VLOOKUP($D7,'2-4'!$D$4:$L$103,2)))))</f>
        <v>消耗需用費</v>
      </c>
      <c r="F7" s="316" t="str">
        <f>IF($D7="","",IF($D7&lt;=100,VLOOKUP($D7,'1-2'!$D$4:$L$103,3),IF($D7&lt;=200,VLOOKUP($D7,'随時①-2'!$D$4:$L$23,3),IF($D7&lt;=300,VLOOKUP($D7,'随時②-2'!$D$21:$L$35,3),VLOOKUP($D7,'2-4'!$D$4:$L$103,3)))))</f>
        <v>トナーカートリッジ</v>
      </c>
      <c r="G7" s="225">
        <f>IF($D7="","",IF($D7&lt;=100,VLOOKUP($D7,'1-2'!$D$4:$L$103,4),IF($D7&lt;=200,VLOOKUP($D7,'随時①-2'!$D$4:$L$23,4),IF($D7&lt;=300,VLOOKUP($D7,'随時②-2'!$D$21:$L$35,4),VLOOKUP($D7,'2-4'!$D$4:$L$103,4)))))</f>
        <v>5600</v>
      </c>
      <c r="H7" s="317">
        <f>IF($D7="","",IF($D7&lt;=100,VLOOKUP($D7,'1-2'!$D$4:$L$103,5),IF($D7&lt;=200,VLOOKUP($D7,'随時①-2'!$D$4:$L$23,5),IF($D7&lt;=300,VLOOKUP($D7,'随時②-2'!$D$21:$L$35,5),VLOOKUP($D7,'2-4'!$D$4:$L$103,5)))))</f>
        <v>9</v>
      </c>
      <c r="I7" s="317">
        <f>IF($D7="","",IF($D7&lt;=100,VLOOKUP($D7,'1-2'!$D$4:$L$103,6),IF($D7&lt;=200,VLOOKUP($D7,'随時①-2'!$D$4:$L$23,6),IF($D7&lt;=300,VLOOKUP($D7,'随時②-2'!$D$21:$L$35,6),VLOOKUP($D7,'2-4'!$D$4:$L$103,6)))))</f>
        <v>1</v>
      </c>
      <c r="J7" s="225">
        <f>IF($D7="","",IF($D7&lt;=100,VLOOKUP($D7,'1-2'!$D$4:$L$103,7),IF($D7&lt;=200,VLOOKUP($D7,'随時①-2'!$D$4:$L$23,7),IF($D7&lt;=300,VLOOKUP($D7,'随時②-2'!$D$21:$L$35,7),VLOOKUP($D7,'2-4'!$D$4:$L$103,7)))))</f>
        <v>50400</v>
      </c>
      <c r="K7" s="316">
        <f>IF($D7="","",IF($D7&lt;=100,VLOOKUP($D7,'1-2'!$D$4:$L$103,8),IF($D7&lt;=200,VLOOKUP($D7,'随時①-2'!$D$4:$L$23,8),IF($D7&lt;=300,VLOOKUP($D7,'随時②-2'!$D$21:$L$35,8),VLOOKUP($D7,'2-4'!$D$4:$L$103,8)))))</f>
        <v>0</v>
      </c>
      <c r="L7" s="418">
        <f>IF($D7="","",IF($D7&lt;=100,VLOOKUP($D7,'1-2'!$D$4:$L$103,9),IF($D7&lt;=200,VLOOKUP($D7,'随時①-2'!$D$4:$L$23,9),IF($D7&lt;=300,VLOOKUP($D7,'随時②-2'!$D$21:$L$35,9),VLOOKUP($D7,'2-4'!$D$4:$L$103,9)))))</f>
        <v>0</v>
      </c>
      <c r="M7" s="5">
        <f t="shared" si="0"/>
      </c>
    </row>
    <row r="8" spans="1:13" ht="14.25">
      <c r="A8" s="91"/>
      <c r="B8" s="67"/>
      <c r="C8" s="67"/>
      <c r="D8" s="412">
        <v>307</v>
      </c>
      <c r="E8" s="316" t="str">
        <f>IF($D8="","",IF($D8&lt;=100,VLOOKUP($D8,'1-2'!$D$4:$L$103,2),IF($D8&lt;=200,VLOOKUP($D8,'随時①-2'!$D$4:$L$23,2),IF($D8&lt;=300,VLOOKUP($D8,'随時②-2'!$D$21:$L$35,2),VLOOKUP($D8,'2-4'!$D$4:$L$103,2)))))</f>
        <v>消耗需用費</v>
      </c>
      <c r="F8" s="316" t="str">
        <f>IF($D8="","",IF($D8&lt;=100,VLOOKUP($D8,'1-2'!$D$4:$L$103,3),IF($D8&lt;=200,VLOOKUP($D8,'随時①-2'!$D$4:$L$23,3),IF($D8&lt;=300,VLOOKUP($D8,'随時②-2'!$D$21:$L$35,3),VLOOKUP($D8,'2-4'!$D$4:$L$103,3)))))</f>
        <v>リサイクルトナーカートリッジ</v>
      </c>
      <c r="G8" s="225">
        <f>IF($D8="","",IF($D8&lt;=100,VLOOKUP($D8,'1-2'!$D$4:$L$103,4),IF($D8&lt;=200,VLOOKUP($D8,'随時①-2'!$D$4:$L$23,4),IF($D8&lt;=300,VLOOKUP($D8,'随時②-2'!$D$21:$L$35,4),VLOOKUP($D8,'2-4'!$D$4:$L$103,4)))))</f>
        <v>2635</v>
      </c>
      <c r="H8" s="317">
        <f>IF($D8="","",IF($D8&lt;=100,VLOOKUP($D8,'1-2'!$D$4:$L$103,5),IF($D8&lt;=200,VLOOKUP($D8,'随時①-2'!$D$4:$L$23,5),IF($D8&lt;=300,VLOOKUP($D8,'随時②-2'!$D$21:$L$35,5),VLOOKUP($D8,'2-4'!$D$4:$L$103,5)))))</f>
        <v>18</v>
      </c>
      <c r="I8" s="317">
        <f>IF($D8="","",IF($D8&lt;=100,VLOOKUP($D8,'1-2'!$D$4:$L$103,6),IF($D8&lt;=200,VLOOKUP($D8,'随時①-2'!$D$4:$L$23,6),IF($D8&lt;=300,VLOOKUP($D8,'随時②-2'!$D$21:$L$35,6),VLOOKUP($D8,'2-4'!$D$4:$L$103,6)))))</f>
        <v>1</v>
      </c>
      <c r="J8" s="225">
        <f>IF($D8="","",IF($D8&lt;=100,VLOOKUP($D8,'1-2'!$D$4:$L$103,7),IF($D8&lt;=200,VLOOKUP($D8,'随時①-2'!$D$4:$L$23,7),IF($D8&lt;=300,VLOOKUP($D8,'随時②-2'!$D$21:$L$35,7),VLOOKUP($D8,'2-4'!$D$4:$L$103,7)))))</f>
        <v>47430</v>
      </c>
      <c r="K8" s="316">
        <f>IF($D8="","",IF($D8&lt;=100,VLOOKUP($D8,'1-2'!$D$4:$L$103,8),IF($D8&lt;=200,VLOOKUP($D8,'随時①-2'!$D$4:$L$23,8),IF($D8&lt;=300,VLOOKUP($D8,'随時②-2'!$D$21:$L$35,8),VLOOKUP($D8,'2-4'!$D$4:$L$103,8)))))</f>
        <v>0</v>
      </c>
      <c r="L8" s="418">
        <f>IF($D8="","",IF($D8&lt;=100,VLOOKUP($D8,'1-2'!$D$4:$L$103,9),IF($D8&lt;=200,VLOOKUP($D8,'随時①-2'!$D$4:$L$23,9),IF($D8&lt;=300,VLOOKUP($D8,'随時②-2'!$D$21:$L$35,9),VLOOKUP($D8,'2-4'!$D$4:$L$103,9)))))</f>
        <v>0</v>
      </c>
      <c r="M8" s="5">
        <f t="shared" si="0"/>
      </c>
    </row>
    <row r="9" spans="1:13" ht="14.25">
      <c r="A9" s="91"/>
      <c r="B9" s="67"/>
      <c r="C9" s="67"/>
      <c r="D9" s="412">
        <v>308</v>
      </c>
      <c r="E9" s="316" t="str">
        <f>IF($D9="","",IF($D9&lt;=100,VLOOKUP($D9,'1-2'!$D$4:$L$103,2),IF($D9&lt;=200,VLOOKUP($D9,'随時①-2'!$D$4:$L$23,2),IF($D9&lt;=300,VLOOKUP($D9,'随時②-2'!$D$21:$L$35,2),VLOOKUP($D9,'2-4'!$D$4:$L$103,2)))))</f>
        <v>消耗需用費</v>
      </c>
      <c r="F9" s="316" t="str">
        <f>IF($D9="","",IF($D9&lt;=100,VLOOKUP($D9,'1-2'!$D$4:$L$103,3),IF($D9&lt;=200,VLOOKUP($D9,'随時①-2'!$D$4:$L$23,3),IF($D9&lt;=300,VLOOKUP($D9,'随時②-2'!$D$21:$L$35,3),VLOOKUP($D9,'2-4'!$D$4:$L$103,3)))))</f>
        <v>無線LAN子機単体</v>
      </c>
      <c r="G9" s="225">
        <f>IF($D9="","",IF($D9&lt;=100,VLOOKUP($D9,'1-2'!$D$4:$L$103,4),IF($D9&lt;=200,VLOOKUP($D9,'随時①-2'!$D$4:$L$23,4),IF($D9&lt;=300,VLOOKUP($D9,'随時②-2'!$D$21:$L$35,4),VLOOKUP($D9,'2-4'!$D$4:$L$103,4)))))</f>
        <v>2720</v>
      </c>
      <c r="H9" s="317">
        <f>IF($D9="","",IF($D9&lt;=100,VLOOKUP($D9,'1-2'!$D$4:$L$103,5),IF($D9&lt;=200,VLOOKUP($D9,'随時①-2'!$D$4:$L$23,5),IF($D9&lt;=300,VLOOKUP($D9,'随時②-2'!$D$21:$L$35,5),VLOOKUP($D9,'2-4'!$D$4:$L$103,5)))))</f>
        <v>7</v>
      </c>
      <c r="I9" s="317">
        <f>IF($D9="","",IF($D9&lt;=100,VLOOKUP($D9,'1-2'!$D$4:$L$103,6),IF($D9&lt;=200,VLOOKUP($D9,'随時①-2'!$D$4:$L$23,6),IF($D9&lt;=300,VLOOKUP($D9,'随時②-2'!$D$21:$L$35,6),VLOOKUP($D9,'2-4'!$D$4:$L$103,6)))))</f>
        <v>1</v>
      </c>
      <c r="J9" s="225">
        <f>IF($D9="","",IF($D9&lt;=100,VLOOKUP($D9,'1-2'!$D$4:$L$103,7),IF($D9&lt;=200,VLOOKUP($D9,'随時①-2'!$D$4:$L$23,7),IF($D9&lt;=300,VLOOKUP($D9,'随時②-2'!$D$21:$L$35,7),VLOOKUP($D9,'2-4'!$D$4:$L$103,7)))))</f>
        <v>19040</v>
      </c>
      <c r="K9" s="316">
        <f>IF($D9="","",IF($D9&lt;=100,VLOOKUP($D9,'1-2'!$D$4:$L$103,8),IF($D9&lt;=200,VLOOKUP($D9,'随時①-2'!$D$4:$L$23,8),IF($D9&lt;=300,VLOOKUP($D9,'随時②-2'!$D$21:$L$35,8),VLOOKUP($D9,'2-4'!$D$4:$L$103,8)))))</f>
        <v>0</v>
      </c>
      <c r="L9" s="418">
        <f>IF($D9="","",IF($D9&lt;=100,VLOOKUP($D9,'1-2'!$D$4:$L$103,9),IF($D9&lt;=200,VLOOKUP($D9,'随時①-2'!$D$4:$L$23,9),IF($D9&lt;=300,VLOOKUP($D9,'随時②-2'!$D$21:$L$35,9),VLOOKUP($D9,'2-4'!$D$4:$L$103,9)))))</f>
        <v>0</v>
      </c>
      <c r="M9" s="5">
        <f t="shared" si="0"/>
      </c>
    </row>
    <row r="10" spans="1:13" ht="14.25">
      <c r="A10" s="91"/>
      <c r="B10" s="67"/>
      <c r="C10" s="67"/>
      <c r="D10" s="412">
        <v>309</v>
      </c>
      <c r="E10" s="316" t="str">
        <f>IF($D10="","",IF($D10&lt;=100,VLOOKUP($D10,'1-2'!$D$4:$L$103,2),IF($D10&lt;=200,VLOOKUP($D10,'随時①-2'!$D$4:$L$23,2),IF($D10&lt;=300,VLOOKUP($D10,'随時②-2'!$D$21:$L$35,2),VLOOKUP($D10,'2-4'!$D$4:$L$103,2)))))</f>
        <v>消耗需用費</v>
      </c>
      <c r="F10" s="316" t="str">
        <f>IF($D10="","",IF($D10&lt;=100,VLOOKUP($D10,'1-2'!$D$4:$L$103,3),IF($D10&lt;=200,VLOOKUP($D10,'随時①-2'!$D$4:$L$23,3),IF($D10&lt;=300,VLOOKUP($D10,'随時②-2'!$D$21:$L$35,3),VLOOKUP($D10,'2-4'!$D$4:$L$103,3)))))</f>
        <v>音楽用 CD-R 20枚　</v>
      </c>
      <c r="G10" s="225">
        <f>IF($D10="","",IF($D10&lt;=100,VLOOKUP($D10,'1-2'!$D$4:$L$103,4),IF($D10&lt;=200,VLOOKUP($D10,'随時①-2'!$D$4:$L$23,4),IF($D10&lt;=300,VLOOKUP($D10,'随時②-2'!$D$21:$L$35,4),VLOOKUP($D10,'2-4'!$D$4:$L$103,4)))))</f>
        <v>1040</v>
      </c>
      <c r="H10" s="317">
        <f>IF($D10="","",IF($D10&lt;=100,VLOOKUP($D10,'1-2'!$D$4:$L$103,5),IF($D10&lt;=200,VLOOKUP($D10,'随時①-2'!$D$4:$L$23,5),IF($D10&lt;=300,VLOOKUP($D10,'随時②-2'!$D$21:$L$35,5),VLOOKUP($D10,'2-4'!$D$4:$L$103,5)))))</f>
        <v>1</v>
      </c>
      <c r="I10" s="317">
        <f>IF($D10="","",IF($D10&lt;=100,VLOOKUP($D10,'1-2'!$D$4:$L$103,6),IF($D10&lt;=200,VLOOKUP($D10,'随時①-2'!$D$4:$L$23,6),IF($D10&lt;=300,VLOOKUP($D10,'随時②-2'!$D$21:$L$35,6),VLOOKUP($D10,'2-4'!$D$4:$L$103,6)))))</f>
        <v>1</v>
      </c>
      <c r="J10" s="225">
        <f>IF($D10="","",IF($D10&lt;=100,VLOOKUP($D10,'1-2'!$D$4:$L$103,7),IF($D10&lt;=200,VLOOKUP($D10,'随時①-2'!$D$4:$L$23,7),IF($D10&lt;=300,VLOOKUP($D10,'随時②-2'!$D$21:$L$35,7),VLOOKUP($D10,'2-4'!$D$4:$L$103,7)))))</f>
        <v>1040</v>
      </c>
      <c r="K10" s="316">
        <f>IF($D10="","",IF($D10&lt;=100,VLOOKUP($D10,'1-2'!$D$4:$L$103,8),IF($D10&lt;=200,VLOOKUP($D10,'随時①-2'!$D$4:$L$23,8),IF($D10&lt;=300,VLOOKUP($D10,'随時②-2'!$D$21:$L$35,8),VLOOKUP($D10,'2-4'!$D$4:$L$103,8)))))</f>
        <v>0</v>
      </c>
      <c r="L10" s="418">
        <f>IF($D10="","",IF($D10&lt;=100,VLOOKUP($D10,'1-2'!$D$4:$L$103,9),IF($D10&lt;=200,VLOOKUP($D10,'随時①-2'!$D$4:$L$23,9),IF($D10&lt;=300,VLOOKUP($D10,'随時②-2'!$D$21:$L$35,9),VLOOKUP($D10,'2-4'!$D$4:$L$103,9)))))</f>
        <v>0</v>
      </c>
      <c r="M10" s="5">
        <f t="shared" si="0"/>
      </c>
    </row>
    <row r="11" spans="1:13" ht="14.25">
      <c r="A11" s="91"/>
      <c r="B11" s="67"/>
      <c r="C11" s="67"/>
      <c r="D11" s="412">
        <v>310</v>
      </c>
      <c r="E11" s="316" t="str">
        <f>IF($D11="","",IF($D11&lt;=100,VLOOKUP($D11,'1-2'!$D$4:$L$103,2),IF($D11&lt;=200,VLOOKUP($D11,'随時①-2'!$D$4:$L$23,2),IF($D11&lt;=300,VLOOKUP($D11,'随時②-2'!$D$21:$L$35,2),VLOOKUP($D11,'2-4'!$D$4:$L$103,2)))))</f>
        <v>消耗需用費</v>
      </c>
      <c r="F11" s="316" t="str">
        <f>IF($D11="","",IF($D11&lt;=100,VLOOKUP($D11,'1-2'!$D$4:$L$103,3),IF($D11&lt;=200,VLOOKUP($D11,'随時①-2'!$D$4:$L$23,3),IF($D11&lt;=300,VLOOKUP($D11,'随時②-2'!$D$21:$L$35,3),VLOOKUP($D11,'2-4'!$D$4:$L$103,3)))))</f>
        <v>コンパクトデジタルカメラ</v>
      </c>
      <c r="G11" s="225">
        <f>IF($D11="","",IF($D11&lt;=100,VLOOKUP($D11,'1-2'!$D$4:$L$103,4),IF($D11&lt;=200,VLOOKUP($D11,'随時①-2'!$D$4:$L$23,4),IF($D11&lt;=300,VLOOKUP($D11,'随時②-2'!$D$21:$L$35,4),VLOOKUP($D11,'2-4'!$D$4:$L$103,4)))))</f>
        <v>13760</v>
      </c>
      <c r="H11" s="317">
        <f>IF($D11="","",IF($D11&lt;=100,VLOOKUP($D11,'1-2'!$D$4:$L$103,5),IF($D11&lt;=200,VLOOKUP($D11,'随時①-2'!$D$4:$L$23,5),IF($D11&lt;=300,VLOOKUP($D11,'随時②-2'!$D$21:$L$35,5),VLOOKUP($D11,'2-4'!$D$4:$L$103,5)))))</f>
        <v>5</v>
      </c>
      <c r="I11" s="317">
        <f>IF($D11="","",IF($D11&lt;=100,VLOOKUP($D11,'1-2'!$D$4:$L$103,6),IF($D11&lt;=200,VLOOKUP($D11,'随時①-2'!$D$4:$L$23,6),IF($D11&lt;=300,VLOOKUP($D11,'随時②-2'!$D$21:$L$35,6),VLOOKUP($D11,'2-4'!$D$4:$L$103,6)))))</f>
        <v>1</v>
      </c>
      <c r="J11" s="225">
        <f>IF($D11="","",IF($D11&lt;=100,VLOOKUP($D11,'1-2'!$D$4:$L$103,7),IF($D11&lt;=200,VLOOKUP($D11,'随時①-2'!$D$4:$L$23,7),IF($D11&lt;=300,VLOOKUP($D11,'随時②-2'!$D$21:$L$35,7),VLOOKUP($D11,'2-4'!$D$4:$L$103,7)))))</f>
        <v>68800</v>
      </c>
      <c r="K11" s="316">
        <f>IF($D11="","",IF($D11&lt;=100,VLOOKUP($D11,'1-2'!$D$4:$L$103,8),IF($D11&lt;=200,VLOOKUP($D11,'随時①-2'!$D$4:$L$23,8),IF($D11&lt;=300,VLOOKUP($D11,'随時②-2'!$D$21:$L$35,8),VLOOKUP($D11,'2-4'!$D$4:$L$103,8)))))</f>
        <v>0</v>
      </c>
      <c r="L11" s="418">
        <f>IF($D11="","",IF($D11&lt;=100,VLOOKUP($D11,'1-2'!$D$4:$L$103,9),IF($D11&lt;=200,VLOOKUP($D11,'随時①-2'!$D$4:$L$23,9),IF($D11&lt;=300,VLOOKUP($D11,'随時②-2'!$D$21:$L$35,9),VLOOKUP($D11,'2-4'!$D$4:$L$103,9)))))</f>
        <v>0</v>
      </c>
      <c r="M11" s="5">
        <f t="shared" si="0"/>
      </c>
    </row>
    <row r="12" spans="1:13" ht="14.25">
      <c r="A12" s="91"/>
      <c r="B12" s="67"/>
      <c r="C12" s="67"/>
      <c r="D12" s="412">
        <v>311</v>
      </c>
      <c r="E12" s="316" t="str">
        <f>IF($D12="","",IF($D12&lt;=100,VLOOKUP($D12,'1-2'!$D$4:$L$103,2),IF($D12&lt;=200,VLOOKUP($D12,'随時①-2'!$D$4:$L$23,2),IF($D12&lt;=300,VLOOKUP($D12,'随時②-2'!$D$21:$L$35,2),VLOOKUP($D12,'2-4'!$D$4:$L$103,2)))))</f>
        <v>消耗需用費</v>
      </c>
      <c r="F12" s="316" t="str">
        <f>IF($D12="","",IF($D12&lt;=100,VLOOKUP($D12,'1-2'!$D$4:$L$103,3),IF($D12&lt;=200,VLOOKUP($D12,'随時①-2'!$D$4:$L$23,3),IF($D12&lt;=300,VLOOKUP($D12,'随時②-2'!$D$21:$L$35,3),VLOOKUP($D12,'2-4'!$D$4:$L$103,3)))))</f>
        <v>ワイヤレスマイク</v>
      </c>
      <c r="G12" s="225">
        <f>IF($D12="","",IF($D12&lt;=100,VLOOKUP($D12,'1-2'!$D$4:$L$103,4),IF($D12&lt;=200,VLOOKUP($D12,'随時①-2'!$D$4:$L$23,4),IF($D12&lt;=300,VLOOKUP($D12,'随時②-2'!$D$21:$L$35,4),VLOOKUP($D12,'2-4'!$D$4:$L$103,4)))))</f>
        <v>20800</v>
      </c>
      <c r="H12" s="317">
        <f>IF($D12="","",IF($D12&lt;=100,VLOOKUP($D12,'1-2'!$D$4:$L$103,5),IF($D12&lt;=200,VLOOKUP($D12,'随時①-2'!$D$4:$L$23,5),IF($D12&lt;=300,VLOOKUP($D12,'随時②-2'!$D$21:$L$35,5),VLOOKUP($D12,'2-4'!$D$4:$L$103,5)))))</f>
        <v>1</v>
      </c>
      <c r="I12" s="317">
        <f>IF($D12="","",IF($D12&lt;=100,VLOOKUP($D12,'1-2'!$D$4:$L$103,6),IF($D12&lt;=200,VLOOKUP($D12,'随時①-2'!$D$4:$L$23,6),IF($D12&lt;=300,VLOOKUP($D12,'随時②-2'!$D$21:$L$35,6),VLOOKUP($D12,'2-4'!$D$4:$L$103,6)))))</f>
        <v>1</v>
      </c>
      <c r="J12" s="225">
        <f>IF($D12="","",IF($D12&lt;=100,VLOOKUP($D12,'1-2'!$D$4:$L$103,7),IF($D12&lt;=200,VLOOKUP($D12,'随時①-2'!$D$4:$L$23,7),IF($D12&lt;=300,VLOOKUP($D12,'随時②-2'!$D$21:$L$35,7),VLOOKUP($D12,'2-4'!$D$4:$L$103,7)))))</f>
        <v>20800</v>
      </c>
      <c r="K12" s="380">
        <f>IF($D12="","",IF($D12&lt;=100,VLOOKUP($D12,'1-2'!$D$4:$L$103,8),IF($D12&lt;=200,VLOOKUP($D12,'随時①-2'!$D$4:$L$23,8),IF($D12&lt;=300,VLOOKUP($D12,'随時②-2'!$D$21:$L$35,8),VLOOKUP($D12,'2-4'!$D$4:$L$103,8)))))</f>
        <v>0</v>
      </c>
      <c r="L12" s="418">
        <f>IF($D12="","",IF($D12&lt;=100,VLOOKUP($D12,'1-2'!$D$4:$L$103,9),IF($D12&lt;=200,VLOOKUP($D12,'随時①-2'!$D$4:$L$23,9),IF($D12&lt;=300,VLOOKUP($D12,'随時②-2'!$D$21:$L$35,9),VLOOKUP($D12,'2-4'!$D$4:$L$103,9)))))</f>
        <v>0</v>
      </c>
      <c r="M12" s="5">
        <f t="shared" si="0"/>
      </c>
    </row>
    <row r="13" spans="1:13" ht="14.25">
      <c r="A13" s="91"/>
      <c r="B13" s="67"/>
      <c r="C13" s="67"/>
      <c r="D13" s="412">
        <v>312</v>
      </c>
      <c r="E13" s="316" t="str">
        <f>IF($D13="","",IF($D13&lt;=100,VLOOKUP($D13,'1-2'!$D$4:$L$103,2),IF($D13&lt;=200,VLOOKUP($D13,'随時①-2'!$D$4:$L$23,2),IF($D13&lt;=300,VLOOKUP($D13,'随時②-2'!$D$21:$L$35,2),VLOOKUP($D13,'2-4'!$D$4:$L$103,2)))))</f>
        <v>消耗需用費</v>
      </c>
      <c r="F13" s="316" t="str">
        <f>IF($D13="","",IF($D13&lt;=100,VLOOKUP($D13,'1-2'!$D$4:$L$103,3),IF($D13&lt;=200,VLOOKUP($D13,'随時①-2'!$D$4:$L$23,3),IF($D13&lt;=300,VLOOKUP($D13,'随時②-2'!$D$21:$L$35,3),VLOOKUP($D13,'2-4'!$D$4:$L$103,3)))))</f>
        <v>Lightning Digital AV アダプター</v>
      </c>
      <c r="G13" s="225">
        <f>IF($D13="","",IF($D13&lt;=100,VLOOKUP($D13,'1-2'!$D$4:$L$103,4),IF($D13&lt;=200,VLOOKUP($D13,'随時①-2'!$D$4:$L$23,4),IF($D13&lt;=300,VLOOKUP($D13,'随時②-2'!$D$21:$L$35,4),VLOOKUP($D13,'2-4'!$D$4:$L$103,4)))))</f>
        <v>4160</v>
      </c>
      <c r="H13" s="317">
        <f>IF($D13="","",IF($D13&lt;=100,VLOOKUP($D13,'1-2'!$D$4:$L$103,5),IF($D13&lt;=200,VLOOKUP($D13,'随時①-2'!$D$4:$L$23,5),IF($D13&lt;=300,VLOOKUP($D13,'随時②-2'!$D$21:$L$35,5),VLOOKUP($D13,'2-4'!$D$4:$L$103,5)))))</f>
        <v>5</v>
      </c>
      <c r="I13" s="317">
        <f>IF($D13="","",IF($D13&lt;=100,VLOOKUP($D13,'1-2'!$D$4:$L$103,6),IF($D13&lt;=200,VLOOKUP($D13,'随時①-2'!$D$4:$L$23,6),IF($D13&lt;=300,VLOOKUP($D13,'随時②-2'!$D$21:$L$35,6),VLOOKUP($D13,'2-4'!$D$4:$L$103,6)))))</f>
        <v>1</v>
      </c>
      <c r="J13" s="225">
        <f>IF($D13="","",IF($D13&lt;=100,VLOOKUP($D13,'1-2'!$D$4:$L$103,7),IF($D13&lt;=200,VLOOKUP($D13,'随時①-2'!$D$4:$L$23,7),IF($D13&lt;=300,VLOOKUP($D13,'随時②-2'!$D$21:$L$35,7),VLOOKUP($D13,'2-4'!$D$4:$L$103,7)))))</f>
        <v>20800</v>
      </c>
      <c r="K13" s="316">
        <f>IF($D13="","",IF($D13&lt;=100,VLOOKUP($D13,'1-2'!$D$4:$L$103,8),IF($D13&lt;=200,VLOOKUP($D13,'随時①-2'!$D$4:$L$23,8),IF($D13&lt;=300,VLOOKUP($D13,'随時②-2'!$D$21:$L$35,8),VLOOKUP($D13,'2-4'!$D$4:$L$103,8)))))</f>
        <v>0</v>
      </c>
      <c r="L13" s="418">
        <f>IF($D13="","",IF($D13&lt;=100,VLOOKUP($D13,'1-2'!$D$4:$L$103,9),IF($D13&lt;=200,VLOOKUP($D13,'随時①-2'!$D$4:$L$23,9),IF($D13&lt;=300,VLOOKUP($D13,'随時②-2'!$D$21:$L$35,9),VLOOKUP($D13,'2-4'!$D$4:$L$103,9)))))</f>
        <v>0</v>
      </c>
      <c r="M13" s="5">
        <f t="shared" si="0"/>
      </c>
    </row>
    <row r="14" spans="1:13" ht="14.25">
      <c r="A14" s="91"/>
      <c r="B14" s="67"/>
      <c r="C14" s="67"/>
      <c r="D14" s="412">
        <v>313</v>
      </c>
      <c r="E14" s="316" t="str">
        <f>IF($D14="","",IF($D14&lt;=100,VLOOKUP($D14,'1-2'!$D$4:$L$103,2),IF($D14&lt;=200,VLOOKUP($D14,'随時①-2'!$D$4:$L$23,2),IF($D14&lt;=300,VLOOKUP($D14,'随時②-2'!$D$21:$L$35,2),VLOOKUP($D14,'2-4'!$D$4:$L$103,2)))))</f>
        <v>消耗需用費</v>
      </c>
      <c r="F14" s="316" t="str">
        <f>IF($D14="","",IF($D14&lt;=100,VLOOKUP($D14,'1-2'!$D$4:$L$103,3),IF($D14&lt;=200,VLOOKUP($D14,'随時①-2'!$D$4:$L$23,3),IF($D14&lt;=300,VLOOKUP($D14,'随時②-2'!$D$21:$L$35,3),VLOOKUP($D14,'2-4'!$D$4:$L$103,3)))))</f>
        <v>ビデオカメラ用 広角 0.6倍 ワイドコンバージョンレンズ</v>
      </c>
      <c r="G14" s="225">
        <f>IF($D14="","",IF($D14&lt;=100,VLOOKUP($D14,'1-2'!$D$4:$L$103,4),IF($D14&lt;=200,VLOOKUP($D14,'随時①-2'!$D$4:$L$23,4),IF($D14&lt;=300,VLOOKUP($D14,'随時②-2'!$D$21:$L$35,4),VLOOKUP($D14,'2-4'!$D$4:$L$103,4)))))</f>
        <v>2944</v>
      </c>
      <c r="H14" s="317">
        <f>IF($D14="","",IF($D14&lt;=100,VLOOKUP($D14,'1-2'!$D$4:$L$103,5),IF($D14&lt;=200,VLOOKUP($D14,'随時①-2'!$D$4:$L$23,5),IF($D14&lt;=300,VLOOKUP($D14,'随時②-2'!$D$21:$L$35,5),VLOOKUP($D14,'2-4'!$D$4:$L$103,5)))))</f>
        <v>1</v>
      </c>
      <c r="I14" s="317">
        <f>IF($D14="","",IF($D14&lt;=100,VLOOKUP($D14,'1-2'!$D$4:$L$103,6),IF($D14&lt;=200,VLOOKUP($D14,'随時①-2'!$D$4:$L$23,6),IF($D14&lt;=300,VLOOKUP($D14,'随時②-2'!$D$21:$L$35,6),VLOOKUP($D14,'2-4'!$D$4:$L$103,6)))))</f>
        <v>1</v>
      </c>
      <c r="J14" s="225">
        <f>IF($D14="","",IF($D14&lt;=100,VLOOKUP($D14,'1-2'!$D$4:$L$103,7),IF($D14&lt;=200,VLOOKUP($D14,'随時①-2'!$D$4:$L$23,7),IF($D14&lt;=300,VLOOKUP($D14,'随時②-2'!$D$21:$L$35,7),VLOOKUP($D14,'2-4'!$D$4:$L$103,7)))))</f>
        <v>2944</v>
      </c>
      <c r="K14" s="316">
        <f>IF($D14="","",IF($D14&lt;=100,VLOOKUP($D14,'1-2'!$D$4:$L$103,8),IF($D14&lt;=200,VLOOKUP($D14,'随時①-2'!$D$4:$L$23,8),IF($D14&lt;=300,VLOOKUP($D14,'随時②-2'!$D$21:$L$35,8),VLOOKUP($D14,'2-4'!$D$4:$L$103,8)))))</f>
        <v>0</v>
      </c>
      <c r="L14" s="418">
        <f>IF($D14="","",IF($D14&lt;=100,VLOOKUP($D14,'1-2'!$D$4:$L$103,9),IF($D14&lt;=200,VLOOKUP($D14,'随時①-2'!$D$4:$L$23,9),IF($D14&lt;=300,VLOOKUP($D14,'随時②-2'!$D$21:$L$35,9),VLOOKUP($D14,'2-4'!$D$4:$L$103,9)))))</f>
        <v>0</v>
      </c>
      <c r="M14" s="5">
        <f t="shared" si="0"/>
      </c>
    </row>
    <row r="15" spans="1:13" ht="14.25">
      <c r="A15" s="91"/>
      <c r="B15" s="67"/>
      <c r="C15" s="67"/>
      <c r="D15" s="412">
        <v>314</v>
      </c>
      <c r="E15" s="316" t="str">
        <f>IF($D15="","",IF($D15&lt;=100,VLOOKUP($D15,'1-2'!$D$4:$L$103,2),IF($D15&lt;=200,VLOOKUP($D15,'随時①-2'!$D$4:$L$23,2),IF($D15&lt;=300,VLOOKUP($D15,'随時②-2'!$D$21:$L$35,2),VLOOKUP($D15,'2-4'!$D$4:$L$103,2)))))</f>
        <v>消耗需用費</v>
      </c>
      <c r="F15" s="316" t="str">
        <f>IF($D15="","",IF($D15&lt;=100,VLOOKUP($D15,'1-2'!$D$4:$L$103,3),IF($D15&lt;=200,VLOOKUP($D15,'随時①-2'!$D$4:$L$23,3),IF($D15&lt;=300,VLOOKUP($D15,'随時②-2'!$D$21:$L$35,3),VLOOKUP($D15,'2-4'!$D$4:$L$103,3)))))</f>
        <v>iPadカバー (iPadM iPad Retina)</v>
      </c>
      <c r="G15" s="225">
        <f>IF($D15="","",IF($D15&lt;=100,VLOOKUP($D15,'1-2'!$D$4:$L$103,4),IF($D15&lt;=200,VLOOKUP($D15,'随時①-2'!$D$4:$L$23,4),IF($D15&lt;=300,VLOOKUP($D15,'随時②-2'!$D$21:$L$35,4),VLOOKUP($D15,'2-4'!$D$4:$L$103,4)))))</f>
        <v>895</v>
      </c>
      <c r="H15" s="317">
        <f>IF($D15="","",IF($D15&lt;=100,VLOOKUP($D15,'1-2'!$D$4:$L$103,5),IF($D15&lt;=200,VLOOKUP($D15,'随時①-2'!$D$4:$L$23,5),IF($D15&lt;=300,VLOOKUP($D15,'随時②-2'!$D$21:$L$35,5),VLOOKUP($D15,'2-4'!$D$4:$L$103,5)))))</f>
        <v>1</v>
      </c>
      <c r="I15" s="317">
        <f>IF($D15="","",IF($D15&lt;=100,VLOOKUP($D15,'1-2'!$D$4:$L$103,6),IF($D15&lt;=200,VLOOKUP($D15,'随時①-2'!$D$4:$L$23,6),IF($D15&lt;=300,VLOOKUP($D15,'随時②-2'!$D$21:$L$35,6),VLOOKUP($D15,'2-4'!$D$4:$L$103,6)))))</f>
        <v>1</v>
      </c>
      <c r="J15" s="225">
        <f>IF($D15="","",IF($D15&lt;=100,VLOOKUP($D15,'1-2'!$D$4:$L$103,7),IF($D15&lt;=200,VLOOKUP($D15,'随時①-2'!$D$4:$L$23,7),IF($D15&lt;=300,VLOOKUP($D15,'随時②-2'!$D$21:$L$35,7),VLOOKUP($D15,'2-4'!$D$4:$L$103,7)))))</f>
        <v>895</v>
      </c>
      <c r="K15" s="316">
        <f>IF($D15="","",IF($D15&lt;=100,VLOOKUP($D15,'1-2'!$D$4:$L$103,8),IF($D15&lt;=200,VLOOKUP($D15,'随時①-2'!$D$4:$L$23,8),IF($D15&lt;=300,VLOOKUP($D15,'随時②-2'!$D$21:$L$35,8),VLOOKUP($D15,'2-4'!$D$4:$L$103,8)))))</f>
        <v>0</v>
      </c>
      <c r="L15" s="418">
        <f>IF($D15="","",IF($D15&lt;=100,VLOOKUP($D15,'1-2'!$D$4:$L$103,9),IF($D15&lt;=200,VLOOKUP($D15,'随時①-2'!$D$4:$L$23,9),IF($D15&lt;=300,VLOOKUP($D15,'随時②-2'!$D$21:$L$35,9),VLOOKUP($D15,'2-4'!$D$4:$L$103,9)))))</f>
        <v>0</v>
      </c>
      <c r="M15" s="5">
        <f t="shared" si="0"/>
      </c>
    </row>
    <row r="16" spans="1:13" ht="14.25">
      <c r="A16" s="91"/>
      <c r="B16" s="67"/>
      <c r="C16" s="67"/>
      <c r="D16" s="412">
        <v>315</v>
      </c>
      <c r="E16" s="316" t="str">
        <f>IF($D16="","",IF($D16&lt;=100,VLOOKUP($D16,'1-2'!$D$4:$L$103,2),IF($D16&lt;=200,VLOOKUP($D16,'随時①-2'!$D$4:$L$23,2),IF($D16&lt;=300,VLOOKUP($D16,'随時②-2'!$D$21:$L$35,2),VLOOKUP($D16,'2-4'!$D$4:$L$103,2)))))</f>
        <v>消耗需用費</v>
      </c>
      <c r="F16" s="316" t="str">
        <f>IF($D16="","",IF($D16&lt;=100,VLOOKUP($D16,'1-2'!$D$4:$L$103,3),IF($D16&lt;=200,VLOOKUP($D16,'随時①-2'!$D$4:$L$23,3),IF($D16&lt;=300,VLOOKUP($D16,'随時②-2'!$D$21:$L$35,3),VLOOKUP($D16,'2-4'!$D$4:$L$103,3)))))</f>
        <v>iPadカバー（iPadK iPad2)</v>
      </c>
      <c r="G16" s="225">
        <f>IF($D16="","",IF($D16&lt;=100,VLOOKUP($D16,'1-2'!$D$4:$L$103,4),IF($D16&lt;=200,VLOOKUP($D16,'随時①-2'!$D$4:$L$23,4),IF($D16&lt;=300,VLOOKUP($D16,'随時②-2'!$D$21:$L$35,4),VLOOKUP($D16,'2-4'!$D$4:$L$103,4)))))</f>
        <v>1584</v>
      </c>
      <c r="H16" s="317">
        <f>IF($D16="","",IF($D16&lt;=100,VLOOKUP($D16,'1-2'!$D$4:$L$103,5),IF($D16&lt;=200,VLOOKUP($D16,'随時①-2'!$D$4:$L$23,5),IF($D16&lt;=300,VLOOKUP($D16,'随時②-2'!$D$21:$L$35,5),VLOOKUP($D16,'2-4'!$D$4:$L$103,5)))))</f>
        <v>4</v>
      </c>
      <c r="I16" s="317">
        <f>IF($D16="","",IF($D16&lt;=100,VLOOKUP($D16,'1-2'!$D$4:$L$103,6),IF($D16&lt;=200,VLOOKUP($D16,'随時①-2'!$D$4:$L$23,6),IF($D16&lt;=300,VLOOKUP($D16,'随時②-2'!$D$21:$L$35,6),VLOOKUP($D16,'2-4'!$D$4:$L$103,6)))))</f>
        <v>1</v>
      </c>
      <c r="J16" s="225">
        <f>IF($D16="","",IF($D16&lt;=100,VLOOKUP($D16,'1-2'!$D$4:$L$103,7),IF($D16&lt;=200,VLOOKUP($D16,'随時①-2'!$D$4:$L$23,7),IF($D16&lt;=300,VLOOKUP($D16,'随時②-2'!$D$21:$L$35,7),VLOOKUP($D16,'2-4'!$D$4:$L$103,7)))))</f>
        <v>6336</v>
      </c>
      <c r="K16" s="316">
        <f>IF($D16="","",IF($D16&lt;=100,VLOOKUP($D16,'1-2'!$D$4:$L$103,8),IF($D16&lt;=200,VLOOKUP($D16,'随時①-2'!$D$4:$L$23,8),IF($D16&lt;=300,VLOOKUP($D16,'随時②-2'!$D$21:$L$35,8),VLOOKUP($D16,'2-4'!$D$4:$L$103,8)))))</f>
        <v>0</v>
      </c>
      <c r="L16" s="418">
        <f>IF($D16="","",IF($D16&lt;=100,VLOOKUP($D16,'1-2'!$D$4:$L$103,9),IF($D16&lt;=200,VLOOKUP($D16,'随時①-2'!$D$4:$L$23,9),IF($D16&lt;=300,VLOOKUP($D16,'随時②-2'!$D$21:$L$35,9),VLOOKUP($D16,'2-4'!$D$4:$L$103,9)))))</f>
        <v>0</v>
      </c>
      <c r="M16" s="5">
        <f t="shared" si="0"/>
      </c>
    </row>
    <row r="17" spans="1:13" ht="14.25">
      <c r="A17" s="91"/>
      <c r="B17" s="67"/>
      <c r="C17" s="67"/>
      <c r="D17" s="412">
        <v>316</v>
      </c>
      <c r="E17" s="316" t="str">
        <f>IF($D17="","",IF($D17&lt;=100,VLOOKUP($D17,'1-2'!$D$4:$L$103,2),IF($D17&lt;=200,VLOOKUP($D17,'随時①-2'!$D$4:$L$23,2),IF($D17&lt;=300,VLOOKUP($D17,'随時②-2'!$D$21:$L$35,2),VLOOKUP($D17,'2-4'!$D$4:$L$103,2)))))</f>
        <v>消耗需用費</v>
      </c>
      <c r="F17" s="316" t="str">
        <f>IF($D17="","",IF($D17&lt;=100,VLOOKUP($D17,'1-2'!$D$4:$L$103,3),IF($D17&lt;=200,VLOOKUP($D17,'随時①-2'!$D$4:$L$23,3),IF($D17&lt;=300,VLOOKUP($D17,'随時②-2'!$D$21:$L$35,3),VLOOKUP($D17,'2-4'!$D$4:$L$103,3)))))</f>
        <v>カードリーダー</v>
      </c>
      <c r="G17" s="225">
        <f>IF($D17="","",IF($D17&lt;=100,VLOOKUP($D17,'1-2'!$D$4:$L$103,4),IF($D17&lt;=200,VLOOKUP($D17,'随時①-2'!$D$4:$L$23,4),IF($D17&lt;=300,VLOOKUP($D17,'随時②-2'!$D$21:$L$35,4),VLOOKUP($D17,'2-4'!$D$4:$L$103,4)))))</f>
        <v>2747</v>
      </c>
      <c r="H17" s="317">
        <f>IF($D17="","",IF($D17&lt;=100,VLOOKUP($D17,'1-2'!$D$4:$L$103,5),IF($D17&lt;=200,VLOOKUP($D17,'随時①-2'!$D$4:$L$23,5),IF($D17&lt;=300,VLOOKUP($D17,'随時②-2'!$D$21:$L$35,5),VLOOKUP($D17,'2-4'!$D$4:$L$103,5)))))</f>
        <v>2</v>
      </c>
      <c r="I17" s="317">
        <f>IF($D17="","",IF($D17&lt;=100,VLOOKUP($D17,'1-2'!$D$4:$L$103,6),IF($D17&lt;=200,VLOOKUP($D17,'随時①-2'!$D$4:$L$23,6),IF($D17&lt;=300,VLOOKUP($D17,'随時②-2'!$D$21:$L$35,6),VLOOKUP($D17,'2-4'!$D$4:$L$103,6)))))</f>
        <v>1</v>
      </c>
      <c r="J17" s="225">
        <f>IF($D17="","",IF($D17&lt;=100,VLOOKUP($D17,'1-2'!$D$4:$L$103,7),IF($D17&lt;=200,VLOOKUP($D17,'随時①-2'!$D$4:$L$23,7),IF($D17&lt;=300,VLOOKUP($D17,'随時②-2'!$D$21:$L$35,7),VLOOKUP($D17,'2-4'!$D$4:$L$103,7)))))</f>
        <v>5494</v>
      </c>
      <c r="K17" s="316">
        <f>IF($D17="","",IF($D17&lt;=100,VLOOKUP($D17,'1-2'!$D$4:$L$103,8),IF($D17&lt;=200,VLOOKUP($D17,'随時①-2'!$D$4:$L$23,8),IF($D17&lt;=300,VLOOKUP($D17,'随時②-2'!$D$21:$L$35,8),VLOOKUP($D17,'2-4'!$D$4:$L$103,8)))))</f>
        <v>0</v>
      </c>
      <c r="L17" s="418">
        <f>IF($D17="","",IF($D17&lt;=100,VLOOKUP($D17,'1-2'!$D$4:$L$103,9),IF($D17&lt;=200,VLOOKUP($D17,'随時①-2'!$D$4:$L$23,9),IF($D17&lt;=300,VLOOKUP($D17,'随時②-2'!$D$21:$L$35,9),VLOOKUP($D17,'2-4'!$D$4:$L$103,9)))))</f>
        <v>0</v>
      </c>
      <c r="M17" s="5">
        <f t="shared" si="0"/>
      </c>
    </row>
    <row r="18" spans="1:12" ht="14.25">
      <c r="A18" s="91"/>
      <c r="B18" s="67"/>
      <c r="C18" s="67"/>
      <c r="D18" s="412">
        <v>317</v>
      </c>
      <c r="E18" s="316" t="str">
        <f>IF($D18="","",IF($D18&lt;=100,VLOOKUP($D18,'1-2'!$D$4:$L$103,2),IF($D18&lt;=200,VLOOKUP($D18,'随時①-2'!$D$4:$L$23,2),IF($D18&lt;=300,VLOOKUP($D18,'随時②-2'!$D$21:$L$35,2),VLOOKUP($D18,'2-4'!$D$4:$L$103,2)))))</f>
        <v>消耗需用費</v>
      </c>
      <c r="F18" s="316" t="str">
        <f>IF($D18="","",IF($D18&lt;=100,VLOOKUP($D18,'1-2'!$D$4:$L$103,3),IF($D18&lt;=200,VLOOKUP($D18,'随時①-2'!$D$4:$L$23,3),IF($D18&lt;=300,VLOOKUP($D18,'随時②-2'!$D$21:$L$35,3),VLOOKUP($D18,'2-4'!$D$4:$L$103,3)))))</f>
        <v>高速無線ルーター </v>
      </c>
      <c r="G18" s="225">
        <f>IF($D18="","",IF($D18&lt;=100,VLOOKUP($D18,'1-2'!$D$4:$L$103,4),IF($D18&lt;=200,VLOOKUP($D18,'随時①-2'!$D$4:$L$23,4),IF($D18&lt;=300,VLOOKUP($D18,'随時②-2'!$D$21:$L$35,4),VLOOKUP($D18,'2-4'!$D$4:$L$103,4)))))</f>
        <v>17600</v>
      </c>
      <c r="H18" s="317">
        <f>IF($D18="","",IF($D18&lt;=100,VLOOKUP($D18,'1-2'!$D$4:$L$103,5),IF($D18&lt;=200,VLOOKUP($D18,'随時①-2'!$D$4:$L$23,5),IF($D18&lt;=300,VLOOKUP($D18,'随時②-2'!$D$21:$L$35,5),VLOOKUP($D18,'2-4'!$D$4:$L$103,5)))))</f>
        <v>1</v>
      </c>
      <c r="I18" s="317">
        <f>IF($D18="","",IF($D18&lt;=100,VLOOKUP($D18,'1-2'!$D$4:$L$103,6),IF($D18&lt;=200,VLOOKUP($D18,'随時①-2'!$D$4:$L$23,6),IF($D18&lt;=300,VLOOKUP($D18,'随時②-2'!$D$21:$L$35,6),VLOOKUP($D18,'2-4'!$D$4:$L$103,6)))))</f>
        <v>1</v>
      </c>
      <c r="J18" s="225">
        <f>IF($D18="","",IF($D18&lt;=100,VLOOKUP($D18,'1-2'!$D$4:$L$103,7),IF($D18&lt;=200,VLOOKUP($D18,'随時①-2'!$D$4:$L$23,7),IF($D18&lt;=300,VLOOKUP($D18,'随時②-2'!$D$21:$L$35,7),VLOOKUP($D18,'2-4'!$D$4:$L$103,7)))))</f>
        <v>17600</v>
      </c>
      <c r="K18" s="316">
        <f>IF($D18="","",IF($D18&lt;=100,VLOOKUP($D18,'1-2'!$D$4:$L$103,8),IF($D18&lt;=200,VLOOKUP($D18,'随時①-2'!$D$4:$L$23,8),IF($D18&lt;=300,VLOOKUP($D18,'随時②-2'!$D$21:$L$35,8),VLOOKUP($D18,'2-4'!$D$4:$L$103,8)))))</f>
        <v>0</v>
      </c>
      <c r="L18" s="418">
        <f>IF($D18="","",IF($D18&lt;=100,VLOOKUP($D18,'1-2'!$D$4:$L$103,9),IF($D18&lt;=200,VLOOKUP($D18,'随時①-2'!$D$4:$L$23,9),IF($D18&lt;=300,VLOOKUP($D18,'随時②-2'!$D$21:$L$35,9),VLOOKUP($D18,'2-4'!$D$4:$L$103,9)))))</f>
        <v>0</v>
      </c>
    </row>
    <row r="19" spans="1:12" ht="14.25">
      <c r="A19" s="91"/>
      <c r="B19" s="67"/>
      <c r="C19" s="67"/>
      <c r="D19" s="412">
        <v>318</v>
      </c>
      <c r="E19" s="316" t="str">
        <f>IF($D19="","",IF($D19&lt;=100,VLOOKUP($D19,'1-2'!$D$4:$L$103,2),IF($D19&lt;=200,VLOOKUP($D19,'随時①-2'!$D$4:$L$23,2),IF($D19&lt;=300,VLOOKUP($D19,'随時②-2'!$D$21:$L$35,2),VLOOKUP($D19,'2-4'!$D$4:$L$103,2)))))</f>
        <v>消耗需用費</v>
      </c>
      <c r="F19" s="316" t="str">
        <f>IF($D19="","",IF($D19&lt;=100,VLOOKUP($D19,'1-2'!$D$4:$L$103,3),IF($D19&lt;=200,VLOOKUP($D19,'随時①-2'!$D$4:$L$23,3),IF($D19&lt;=300,VLOOKUP($D19,'随時②-2'!$D$21:$L$35,3),VLOOKUP($D19,'2-4'!$D$4:$L$103,3)))))</f>
        <v>高速無線ルーター</v>
      </c>
      <c r="G19" s="225">
        <f>IF($D19="","",IF($D19&lt;=100,VLOOKUP($D19,'1-2'!$D$4:$L$103,4),IF($D19&lt;=200,VLOOKUP($D19,'随時①-2'!$D$4:$L$23,4),IF($D19&lt;=300,VLOOKUP($D19,'随時②-2'!$D$21:$L$35,4),VLOOKUP($D19,'2-4'!$D$4:$L$103,4)))))</f>
        <v>25600</v>
      </c>
      <c r="H19" s="317">
        <f>IF($D19="","",IF($D19&lt;=100,VLOOKUP($D19,'1-2'!$D$4:$L$103,5),IF($D19&lt;=200,VLOOKUP($D19,'随時①-2'!$D$4:$L$23,5),IF($D19&lt;=300,VLOOKUP($D19,'随時②-2'!$D$21:$L$35,5),VLOOKUP($D19,'2-4'!$D$4:$L$103,5)))))</f>
        <v>1</v>
      </c>
      <c r="I19" s="317">
        <f>IF($D19="","",IF($D19&lt;=100,VLOOKUP($D19,'1-2'!$D$4:$L$103,6),IF($D19&lt;=200,VLOOKUP($D19,'随時①-2'!$D$4:$L$23,6),IF($D19&lt;=300,VLOOKUP($D19,'随時②-2'!$D$21:$L$35,6),VLOOKUP($D19,'2-4'!$D$4:$L$103,6)))))</f>
        <v>1</v>
      </c>
      <c r="J19" s="225">
        <f>IF($D19="","",IF($D19&lt;=100,VLOOKUP($D19,'1-2'!$D$4:$L$103,7),IF($D19&lt;=200,VLOOKUP($D19,'随時①-2'!$D$4:$L$23,7),IF($D19&lt;=300,VLOOKUP($D19,'随時②-2'!$D$21:$L$35,7),VLOOKUP($D19,'2-4'!$D$4:$L$103,7)))))</f>
        <v>25600</v>
      </c>
      <c r="K19" s="316">
        <f>IF($D19="","",IF($D19&lt;=100,VLOOKUP($D19,'1-2'!$D$4:$L$103,8),IF($D19&lt;=200,VLOOKUP($D19,'随時①-2'!$D$4:$L$23,8),IF($D19&lt;=300,VLOOKUP($D19,'随時②-2'!$D$21:$L$35,8),VLOOKUP($D19,'2-4'!$D$4:$L$103,8)))))</f>
        <v>0</v>
      </c>
      <c r="L19" s="418">
        <f>IF($D19="","",IF($D19&lt;=100,VLOOKUP($D19,'1-2'!$D$4:$L$103,9),IF($D19&lt;=200,VLOOKUP($D19,'随時①-2'!$D$4:$L$23,9),IF($D19&lt;=300,VLOOKUP($D19,'随時②-2'!$D$21:$L$35,9),VLOOKUP($D19,'2-4'!$D$4:$L$103,9)))))</f>
        <v>0</v>
      </c>
    </row>
    <row r="20" spans="1:12" ht="14.25">
      <c r="A20" s="91"/>
      <c r="B20" s="67"/>
      <c r="C20" s="67"/>
      <c r="D20" s="412">
        <v>319</v>
      </c>
      <c r="E20" s="316" t="str">
        <f>IF($D20="","",IF($D20&lt;=100,VLOOKUP($D20,'1-2'!$D$4:$L$103,2),IF($D20&lt;=200,VLOOKUP($D20,'随時①-2'!$D$4:$L$23,2),IF($D20&lt;=300,VLOOKUP($D20,'随時②-2'!$D$21:$L$35,2),VLOOKUP($D20,'2-4'!$D$4:$L$103,2)))))</f>
        <v>消耗需用費</v>
      </c>
      <c r="F20" s="316" t="str">
        <f>IF($D20="","",IF($D20&lt;=100,VLOOKUP($D20,'1-2'!$D$4:$L$103,3),IF($D20&lt;=200,VLOOKUP($D20,'随時①-2'!$D$4:$L$23,3),IF($D20&lt;=300,VLOOKUP($D20,'随時②-2'!$D$21:$L$35,3),VLOOKUP($D20,'2-4'!$D$4:$L$103,3)))))</f>
        <v>無線LAN ルーター 親機</v>
      </c>
      <c r="G20" s="225">
        <f>IF($D20="","",IF($D20&lt;=100,VLOOKUP($D20,'1-2'!$D$4:$L$103,4),IF($D20&lt;=200,VLOOKUP($D20,'随時①-2'!$D$4:$L$23,4),IF($D20&lt;=300,VLOOKUP($D20,'随時②-2'!$D$21:$L$35,4),VLOOKUP($D20,'2-4'!$D$4:$L$103,4)))))</f>
        <v>6800</v>
      </c>
      <c r="H20" s="317">
        <f>IF($D20="","",IF($D20&lt;=100,VLOOKUP($D20,'1-2'!$D$4:$L$103,5),IF($D20&lt;=200,VLOOKUP($D20,'随時①-2'!$D$4:$L$23,5),IF($D20&lt;=300,VLOOKUP($D20,'随時②-2'!$D$21:$L$35,5),VLOOKUP($D20,'2-4'!$D$4:$L$103,5)))))</f>
        <v>1</v>
      </c>
      <c r="I20" s="317">
        <f>IF($D20="","",IF($D20&lt;=100,VLOOKUP($D20,'1-2'!$D$4:$L$103,6),IF($D20&lt;=200,VLOOKUP($D20,'随時①-2'!$D$4:$L$23,6),IF($D20&lt;=300,VLOOKUP($D20,'随時②-2'!$D$21:$L$35,6),VLOOKUP($D20,'2-4'!$D$4:$L$103,6)))))</f>
        <v>1</v>
      </c>
      <c r="J20" s="225">
        <f>IF($D20="","",IF($D20&lt;=100,VLOOKUP($D20,'1-2'!$D$4:$L$103,7),IF($D20&lt;=200,VLOOKUP($D20,'随時①-2'!$D$4:$L$23,7),IF($D20&lt;=300,VLOOKUP($D20,'随時②-2'!$D$21:$L$35,7),VLOOKUP($D20,'2-4'!$D$4:$L$103,7)))))</f>
        <v>6800</v>
      </c>
      <c r="K20" s="316">
        <f>IF($D20="","",IF($D20&lt;=100,VLOOKUP($D20,'1-2'!$D$4:$L$103,8),IF($D20&lt;=200,VLOOKUP($D20,'随時①-2'!$D$4:$L$23,8),IF($D20&lt;=300,VLOOKUP($D20,'随時②-2'!$D$21:$L$35,8),VLOOKUP($D20,'2-4'!$D$4:$L$103,8)))))</f>
        <v>0</v>
      </c>
      <c r="L20" s="418">
        <f>IF($D20="","",IF($D20&lt;=100,VLOOKUP($D20,'1-2'!$D$4:$L$103,9),IF($D20&lt;=200,VLOOKUP($D20,'随時①-2'!$D$4:$L$23,9),IF($D20&lt;=300,VLOOKUP($D20,'随時②-2'!$D$21:$L$35,9),VLOOKUP($D20,'2-4'!$D$4:$L$103,9)))))</f>
        <v>0</v>
      </c>
    </row>
    <row r="21" spans="1:12" ht="14.25">
      <c r="A21" s="91"/>
      <c r="B21" s="67"/>
      <c r="C21" s="67"/>
      <c r="D21" s="412">
        <v>320</v>
      </c>
      <c r="E21" s="316" t="str">
        <f>IF($D21="","",IF($D21&lt;=100,VLOOKUP($D21,'1-2'!$D$4:$L$103,2),IF($D21&lt;=200,VLOOKUP($D21,'随時①-2'!$D$4:$L$23,2),IF($D21&lt;=300,VLOOKUP($D21,'随時②-2'!$D$21:$L$35,2),VLOOKUP($D21,'2-4'!$D$4:$L$103,2)))))</f>
        <v>消耗需用費</v>
      </c>
      <c r="F21" s="316" t="str">
        <f>IF($D21="","",IF($D21&lt;=100,VLOOKUP($D21,'1-2'!$D$4:$L$103,3),IF($D21&lt;=200,VLOOKUP($D21,'随時①-2'!$D$4:$L$23,3),IF($D21&lt;=300,VLOOKUP($D21,'随時②-2'!$D$21:$L$35,3),VLOOKUP($D21,'2-4'!$D$4:$L$103,3)))))</f>
        <v>ステレオミニプラグ　オーディオケーブル</v>
      </c>
      <c r="G21" s="225">
        <f>IF($D21="","",IF($D21&lt;=100,VLOOKUP($D21,'1-2'!$D$4:$L$103,4),IF($D21&lt;=200,VLOOKUP($D21,'随時①-2'!$D$4:$L$23,4),IF($D21&lt;=300,VLOOKUP($D21,'随時②-2'!$D$21:$L$35,4),VLOOKUP($D21,'2-4'!$D$4:$L$103,4)))))</f>
        <v>720</v>
      </c>
      <c r="H21" s="317">
        <f>IF($D21="","",IF($D21&lt;=100,VLOOKUP($D21,'1-2'!$D$4:$L$103,5),IF($D21&lt;=200,VLOOKUP($D21,'随時①-2'!$D$4:$L$23,5),IF($D21&lt;=300,VLOOKUP($D21,'随時②-2'!$D$21:$L$35,5),VLOOKUP($D21,'2-4'!$D$4:$L$103,5)))))</f>
        <v>1</v>
      </c>
      <c r="I21" s="317">
        <f>IF($D21="","",IF($D21&lt;=100,VLOOKUP($D21,'1-2'!$D$4:$L$103,6),IF($D21&lt;=200,VLOOKUP($D21,'随時①-2'!$D$4:$L$23,6),IF($D21&lt;=300,VLOOKUP($D21,'随時②-2'!$D$21:$L$35,6),VLOOKUP($D21,'2-4'!$D$4:$L$103,6)))))</f>
        <v>1</v>
      </c>
      <c r="J21" s="225">
        <f>IF($D21="","",IF($D21&lt;=100,VLOOKUP($D21,'1-2'!$D$4:$L$103,7),IF($D21&lt;=200,VLOOKUP($D21,'随時①-2'!$D$4:$L$23,7),IF($D21&lt;=300,VLOOKUP($D21,'随時②-2'!$D$21:$L$35,7),VLOOKUP($D21,'2-4'!$D$4:$L$103,7)))))</f>
        <v>720</v>
      </c>
      <c r="K21" s="316">
        <f>IF($D21="","",IF($D21&lt;=100,VLOOKUP($D21,'1-2'!$D$4:$L$103,8),IF($D21&lt;=200,VLOOKUP($D21,'随時①-2'!$D$4:$L$23,8),IF($D21&lt;=300,VLOOKUP($D21,'随時②-2'!$D$21:$L$35,8),VLOOKUP($D21,'2-4'!$D$4:$L$103,8)))))</f>
        <v>0</v>
      </c>
      <c r="L21" s="418">
        <f>IF($D21="","",IF($D21&lt;=100,VLOOKUP($D21,'1-2'!$D$4:$L$103,9),IF($D21&lt;=200,VLOOKUP($D21,'随時①-2'!$D$4:$L$23,9),IF($D21&lt;=300,VLOOKUP($D21,'随時②-2'!$D$21:$L$35,9),VLOOKUP($D21,'2-4'!$D$4:$L$103,9)))))</f>
        <v>0</v>
      </c>
    </row>
    <row r="22" spans="1:12" ht="14.25">
      <c r="A22" s="91"/>
      <c r="B22" s="67"/>
      <c r="C22" s="67"/>
      <c r="D22" s="412">
        <v>321</v>
      </c>
      <c r="E22" s="316" t="str">
        <f>IF($D22="","",IF($D22&lt;=100,VLOOKUP($D22,'1-2'!$D$4:$L$103,2),IF($D22&lt;=200,VLOOKUP($D22,'随時①-2'!$D$4:$L$23,2),IF($D22&lt;=300,VLOOKUP($D22,'随時②-2'!$D$21:$L$35,2),VLOOKUP($D22,'2-4'!$D$4:$L$103,2)))))</f>
        <v>消耗需用費</v>
      </c>
      <c r="F22" s="316" t="str">
        <f>IF($D22="","",IF($D22&lt;=100,VLOOKUP($D22,'1-2'!$D$4:$L$103,3),IF($D22&lt;=200,VLOOKUP($D22,'随時①-2'!$D$4:$L$23,3),IF($D22&lt;=300,VLOOKUP($D22,'随時②-2'!$D$21:$L$35,3),VLOOKUP($D22,'2-4'!$D$4:$L$103,3)))))</f>
        <v>SDカード</v>
      </c>
      <c r="G22" s="225">
        <f>IF($D22="","",IF($D22&lt;=100,VLOOKUP($D22,'1-2'!$D$4:$L$103,4),IF($D22&lt;=200,VLOOKUP($D22,'随時①-2'!$D$4:$L$23,4),IF($D22&lt;=300,VLOOKUP($D22,'随時②-2'!$D$21:$L$35,4),VLOOKUP($D22,'2-4'!$D$4:$L$103,4)))))</f>
        <v>790</v>
      </c>
      <c r="H22" s="317">
        <f>IF($D22="","",IF($D22&lt;=100,VLOOKUP($D22,'1-2'!$D$4:$L$103,5),IF($D22&lt;=200,VLOOKUP($D22,'随時①-2'!$D$4:$L$23,5),IF($D22&lt;=300,VLOOKUP($D22,'随時②-2'!$D$21:$L$35,5),VLOOKUP($D22,'2-4'!$D$4:$L$103,5)))))</f>
        <v>5</v>
      </c>
      <c r="I22" s="317">
        <f>IF($D22="","",IF($D22&lt;=100,VLOOKUP($D22,'1-2'!$D$4:$L$103,6),IF($D22&lt;=200,VLOOKUP($D22,'随時①-2'!$D$4:$L$23,6),IF($D22&lt;=300,VLOOKUP($D22,'随時②-2'!$D$21:$L$35,6),VLOOKUP($D22,'2-4'!$D$4:$L$103,6)))))</f>
        <v>1</v>
      </c>
      <c r="J22" s="225">
        <f>IF($D22="","",IF($D22&lt;=100,VLOOKUP($D22,'1-2'!$D$4:$L$103,7),IF($D22&lt;=200,VLOOKUP($D22,'随時①-2'!$D$4:$L$23,7),IF($D22&lt;=300,VLOOKUP($D22,'随時②-2'!$D$21:$L$35,7),VLOOKUP($D22,'2-4'!$D$4:$L$103,7)))))</f>
        <v>3950</v>
      </c>
      <c r="K22" s="316">
        <f>IF($D22="","",IF($D22&lt;=100,VLOOKUP($D22,'1-2'!$D$4:$L$103,8),IF($D22&lt;=200,VLOOKUP($D22,'随時①-2'!$D$4:$L$23,8),IF($D22&lt;=300,VLOOKUP($D22,'随時②-2'!$D$21:$L$35,8),VLOOKUP($D22,'2-4'!$D$4:$L$103,8)))))</f>
        <v>0</v>
      </c>
      <c r="L22" s="418">
        <f>IF($D22="","",IF($D22&lt;=100,VLOOKUP($D22,'1-2'!$D$4:$L$103,9),IF($D22&lt;=200,VLOOKUP($D22,'随時①-2'!$D$4:$L$23,9),IF($D22&lt;=300,VLOOKUP($D22,'随時②-2'!$D$21:$L$35,9),VLOOKUP($D22,'2-4'!$D$4:$L$103,9)))))</f>
        <v>0</v>
      </c>
    </row>
    <row r="23" spans="1:12" ht="14.25">
      <c r="A23" s="91"/>
      <c r="B23" s="67"/>
      <c r="C23" s="67"/>
      <c r="D23" s="412">
        <v>322</v>
      </c>
      <c r="E23" s="316" t="str">
        <f>IF($D23="","",IF($D23&lt;=100,VLOOKUP($D23,'1-2'!$D$4:$L$103,2),IF($D23&lt;=200,VLOOKUP($D23,'随時①-2'!$D$4:$L$23,2),IF($D23&lt;=300,VLOOKUP($D23,'随時②-2'!$D$21:$L$35,2),VLOOKUP($D23,'2-4'!$D$4:$L$103,2)))))</f>
        <v>消耗需用費</v>
      </c>
      <c r="F23" s="316" t="str">
        <f>IF($D23="","",IF($D23&lt;=100,VLOOKUP($D23,'1-2'!$D$4:$L$103,3),IF($D23&lt;=200,VLOOKUP($D23,'随時①-2'!$D$4:$L$23,3),IF($D23&lt;=300,VLOOKUP($D23,'随時②-2'!$D$21:$L$35,3),VLOOKUP($D23,'2-4'!$D$4:$L$103,3)))))</f>
        <v>SDカード</v>
      </c>
      <c r="G23" s="225">
        <f>IF($D23="","",IF($D23&lt;=100,VLOOKUP($D23,'1-2'!$D$4:$L$103,4),IF($D23&lt;=200,VLOOKUP($D23,'随時①-2'!$D$4:$L$23,4),IF($D23&lt;=300,VLOOKUP($D23,'随時②-2'!$D$21:$L$35,4),VLOOKUP($D23,'2-4'!$D$4:$L$103,4)))))</f>
        <v>1104</v>
      </c>
      <c r="H23" s="317">
        <f>IF($D23="","",IF($D23&lt;=100,VLOOKUP($D23,'1-2'!$D$4:$L$103,5),IF($D23&lt;=200,VLOOKUP($D23,'随時①-2'!$D$4:$L$23,5),IF($D23&lt;=300,VLOOKUP($D23,'随時②-2'!$D$21:$L$35,5),VLOOKUP($D23,'2-4'!$D$4:$L$103,5)))))</f>
        <v>3</v>
      </c>
      <c r="I23" s="317">
        <f>IF($D23="","",IF($D23&lt;=100,VLOOKUP($D23,'1-2'!$D$4:$L$103,6),IF($D23&lt;=200,VLOOKUP($D23,'随時①-2'!$D$4:$L$23,6),IF($D23&lt;=300,VLOOKUP($D23,'随時②-2'!$D$21:$L$35,6),VLOOKUP($D23,'2-4'!$D$4:$L$103,6)))))</f>
        <v>1</v>
      </c>
      <c r="J23" s="225">
        <f>IF($D23="","",IF($D23&lt;=100,VLOOKUP($D23,'1-2'!$D$4:$L$103,7),IF($D23&lt;=200,VLOOKUP($D23,'随時①-2'!$D$4:$L$23,7),IF($D23&lt;=300,VLOOKUP($D23,'随時②-2'!$D$21:$L$35,7),VLOOKUP($D23,'2-4'!$D$4:$L$103,7)))))</f>
        <v>3312</v>
      </c>
      <c r="K23" s="316">
        <f>IF($D23="","",IF($D23&lt;=100,VLOOKUP($D23,'1-2'!$D$4:$L$103,8),IF($D23&lt;=200,VLOOKUP($D23,'随時①-2'!$D$4:$L$23,8),IF($D23&lt;=300,VLOOKUP($D23,'随時②-2'!$D$21:$L$35,8),VLOOKUP($D23,'2-4'!$D$4:$L$103,8)))))</f>
        <v>0</v>
      </c>
      <c r="L23" s="418">
        <f>IF($D23="","",IF($D23&lt;=100,VLOOKUP($D23,'1-2'!$D$4:$L$103,9),IF($D23&lt;=200,VLOOKUP($D23,'随時①-2'!$D$4:$L$23,9),IF($D23&lt;=300,VLOOKUP($D23,'随時②-2'!$D$21:$L$35,9),VLOOKUP($D23,'2-4'!$D$4:$L$103,9)))))</f>
        <v>0</v>
      </c>
    </row>
    <row r="24" spans="1:12" ht="14.25">
      <c r="A24" s="91"/>
      <c r="B24" s="67"/>
      <c r="C24" s="67"/>
      <c r="D24" s="412">
        <v>323</v>
      </c>
      <c r="E24" s="316" t="str">
        <f>IF($D24="","",IF($D24&lt;=100,VLOOKUP($D24,'1-2'!$D$4:$L$103,2),IF($D24&lt;=200,VLOOKUP($D24,'随時①-2'!$D$4:$L$23,2),IF($D24&lt;=300,VLOOKUP($D24,'随時②-2'!$D$21:$L$35,2),VLOOKUP($D24,'2-4'!$D$4:$L$103,2)))))</f>
        <v>消耗需用費</v>
      </c>
      <c r="F24" s="316" t="str">
        <f>IF($D24="","",IF($D24&lt;=100,VLOOKUP($D24,'1-2'!$D$4:$L$103,3),IF($D24&lt;=200,VLOOKUP($D24,'随時①-2'!$D$4:$L$23,3),IF($D24&lt;=300,VLOOKUP($D24,'随時②-2'!$D$21:$L$35,3),VLOOKUP($D24,'2-4'!$D$4:$L$103,3)))))</f>
        <v>HDMI変換（延長）アダプタ15ピン</v>
      </c>
      <c r="G24" s="225">
        <f>IF($D24="","",IF($D24&lt;=100,VLOOKUP($D24,'1-2'!$D$4:$L$103,4),IF($D24&lt;=200,VLOOKUP($D24,'随時①-2'!$D$4:$L$23,4),IF($D24&lt;=300,VLOOKUP($D24,'随時②-2'!$D$21:$L$35,4),VLOOKUP($D24,'2-4'!$D$4:$L$103,4)))))</f>
        <v>1198</v>
      </c>
      <c r="H24" s="317">
        <f>IF($D24="","",IF($D24&lt;=100,VLOOKUP($D24,'1-2'!$D$4:$L$103,5),IF($D24&lt;=200,VLOOKUP($D24,'随時①-2'!$D$4:$L$23,5),IF($D24&lt;=300,VLOOKUP($D24,'随時②-2'!$D$21:$L$35,5),VLOOKUP($D24,'2-4'!$D$4:$L$103,5)))))</f>
        <v>1</v>
      </c>
      <c r="I24" s="317">
        <f>IF($D24="","",IF($D24&lt;=100,VLOOKUP($D24,'1-2'!$D$4:$L$103,6),IF($D24&lt;=200,VLOOKUP($D24,'随時①-2'!$D$4:$L$23,6),IF($D24&lt;=300,VLOOKUP($D24,'随時②-2'!$D$21:$L$35,6),VLOOKUP($D24,'2-4'!$D$4:$L$103,6)))))</f>
        <v>1</v>
      </c>
      <c r="J24" s="225">
        <f>IF($D24="","",IF($D24&lt;=100,VLOOKUP($D24,'1-2'!$D$4:$L$103,7),IF($D24&lt;=200,VLOOKUP($D24,'随時①-2'!$D$4:$L$23,7),IF($D24&lt;=300,VLOOKUP($D24,'随時②-2'!$D$21:$L$35,7),VLOOKUP($D24,'2-4'!$D$4:$L$103,7)))))</f>
        <v>1198</v>
      </c>
      <c r="K24" s="316">
        <f>IF($D24="","",IF($D24&lt;=100,VLOOKUP($D24,'1-2'!$D$4:$L$103,8),IF($D24&lt;=200,VLOOKUP($D24,'随時①-2'!$D$4:$L$23,8),IF($D24&lt;=300,VLOOKUP($D24,'随時②-2'!$D$21:$L$35,8),VLOOKUP($D24,'2-4'!$D$4:$L$103,8)))))</f>
        <v>0</v>
      </c>
      <c r="L24" s="418">
        <f>IF($D24="","",IF($D24&lt;=100,VLOOKUP($D24,'1-2'!$D$4:$L$103,9),IF($D24&lt;=200,VLOOKUP($D24,'随時①-2'!$D$4:$L$23,9),IF($D24&lt;=300,VLOOKUP($D24,'随時②-2'!$D$21:$L$35,9),VLOOKUP($D24,'2-4'!$D$4:$L$103,9)))))</f>
        <v>0</v>
      </c>
    </row>
    <row r="25" spans="1:12" ht="14.25">
      <c r="A25" s="91"/>
      <c r="B25" s="67"/>
      <c r="C25" s="67"/>
      <c r="D25" s="412">
        <v>324</v>
      </c>
      <c r="E25" s="316" t="str">
        <f>IF($D25="","",IF($D25&lt;=100,VLOOKUP($D25,'1-2'!$D$4:$L$103,2),IF($D25&lt;=200,VLOOKUP($D25,'随時①-2'!$D$4:$L$23,2),IF($D25&lt;=300,VLOOKUP($D25,'随時②-2'!$D$21:$L$35,2),VLOOKUP($D25,'2-4'!$D$4:$L$103,2)))))</f>
        <v>消耗需用費</v>
      </c>
      <c r="F25" s="316" t="str">
        <f>IF($D25="","",IF($D25&lt;=100,VLOOKUP($D25,'1-2'!$D$4:$L$103,3),IF($D25&lt;=200,VLOOKUP($D25,'随時①-2'!$D$4:$L$23,3),IF($D25&lt;=300,VLOOKUP($D25,'随時②-2'!$D$21:$L$35,3),VLOOKUP($D25,'2-4'!$D$4:$L$103,3)))))</f>
        <v>BD-RE</v>
      </c>
      <c r="G25" s="225">
        <f>IF($D25="","",IF($D25&lt;=100,VLOOKUP($D25,'1-2'!$D$4:$L$103,4),IF($D25&lt;=200,VLOOKUP($D25,'随時①-2'!$D$4:$L$23,4),IF($D25&lt;=300,VLOOKUP($D25,'随時②-2'!$D$21:$L$35,4),VLOOKUP($D25,'2-4'!$D$4:$L$103,4)))))</f>
        <v>2400</v>
      </c>
      <c r="H25" s="317">
        <f>IF($D25="","",IF($D25&lt;=100,VLOOKUP($D25,'1-2'!$D$4:$L$103,5),IF($D25&lt;=200,VLOOKUP($D25,'随時①-2'!$D$4:$L$23,5),IF($D25&lt;=300,VLOOKUP($D25,'随時②-2'!$D$21:$L$35,5),VLOOKUP($D25,'2-4'!$D$4:$L$103,5)))))</f>
        <v>3</v>
      </c>
      <c r="I25" s="317">
        <f>IF($D25="","",IF($D25&lt;=100,VLOOKUP($D25,'1-2'!$D$4:$L$103,6),IF($D25&lt;=200,VLOOKUP($D25,'随時①-2'!$D$4:$L$23,6),IF($D25&lt;=300,VLOOKUP($D25,'随時②-2'!$D$21:$L$35,6),VLOOKUP($D25,'2-4'!$D$4:$L$103,6)))))</f>
        <v>1</v>
      </c>
      <c r="J25" s="225">
        <f>IF($D25="","",IF($D25&lt;=100,VLOOKUP($D25,'1-2'!$D$4:$L$103,7),IF($D25&lt;=200,VLOOKUP($D25,'随時①-2'!$D$4:$L$23,7),IF($D25&lt;=300,VLOOKUP($D25,'随時②-2'!$D$21:$L$35,7),VLOOKUP($D25,'2-4'!$D$4:$L$103,7)))))</f>
        <v>7200</v>
      </c>
      <c r="K25" s="316">
        <f>IF($D25="","",IF($D25&lt;=100,VLOOKUP($D25,'1-2'!$D$4:$L$103,8),IF($D25&lt;=200,VLOOKUP($D25,'随時①-2'!$D$4:$L$23,8),IF($D25&lt;=300,VLOOKUP($D25,'随時②-2'!$D$21:$L$35,8),VLOOKUP($D25,'2-4'!$D$4:$L$103,8)))))</f>
        <v>0</v>
      </c>
      <c r="L25" s="418">
        <f>IF($D25="","",IF($D25&lt;=100,VLOOKUP($D25,'1-2'!$D$4:$L$103,9),IF($D25&lt;=200,VLOOKUP($D25,'随時①-2'!$D$4:$L$23,9),IF($D25&lt;=300,VLOOKUP($D25,'随時②-2'!$D$21:$L$35,9),VLOOKUP($D25,'2-4'!$D$4:$L$103,9)))))</f>
        <v>0</v>
      </c>
    </row>
    <row r="26" spans="1:12" ht="14.25">
      <c r="A26" s="91"/>
      <c r="B26" s="67"/>
      <c r="C26" s="67"/>
      <c r="D26" s="412">
        <v>325</v>
      </c>
      <c r="E26" s="316" t="str">
        <f>IF($D26="","",IF($D26&lt;=100,VLOOKUP($D26,'1-2'!$D$4:$L$103,2),IF($D26&lt;=200,VLOOKUP($D26,'随時①-2'!$D$4:$L$23,2),IF($D26&lt;=300,VLOOKUP($D26,'随時②-2'!$D$21:$L$35,2),VLOOKUP($D26,'2-4'!$D$4:$L$103,2)))))</f>
        <v>消耗需用費</v>
      </c>
      <c r="F26" s="316" t="str">
        <f>IF($D26="","",IF($D26&lt;=100,VLOOKUP($D26,'1-2'!$D$4:$L$103,3),IF($D26&lt;=200,VLOOKUP($D26,'随時①-2'!$D$4:$L$23,3),IF($D26&lt;=300,VLOOKUP($D26,'随時②-2'!$D$21:$L$35,3),VLOOKUP($D26,'2-4'!$D$4:$L$103,3)))))</f>
        <v>ノートPC</v>
      </c>
      <c r="G26" s="225">
        <f>IF($D26="","",IF($D26&lt;=100,VLOOKUP($D26,'1-2'!$D$4:$L$103,4),IF($D26&lt;=200,VLOOKUP($D26,'随時①-2'!$D$4:$L$23,4),IF($D26&lt;=300,VLOOKUP($D26,'随時②-2'!$D$21:$L$35,4),VLOOKUP($D26,'2-4'!$D$4:$L$103,4)))))</f>
        <v>32000</v>
      </c>
      <c r="H26" s="317">
        <f>IF($D26="","",IF($D26&lt;=100,VLOOKUP($D26,'1-2'!$D$4:$L$103,5),IF($D26&lt;=200,VLOOKUP($D26,'随時①-2'!$D$4:$L$23,5),IF($D26&lt;=300,VLOOKUP($D26,'随時②-2'!$D$21:$L$35,5),VLOOKUP($D26,'2-4'!$D$4:$L$103,5)))))</f>
        <v>2</v>
      </c>
      <c r="I26" s="317">
        <f>IF($D26="","",IF($D26&lt;=100,VLOOKUP($D26,'1-2'!$D$4:$L$103,6),IF($D26&lt;=200,VLOOKUP($D26,'随時①-2'!$D$4:$L$23,6),IF($D26&lt;=300,VLOOKUP($D26,'随時②-2'!$D$21:$L$35,6),VLOOKUP($D26,'2-4'!$D$4:$L$103,6)))))</f>
        <v>1</v>
      </c>
      <c r="J26" s="225">
        <f>IF($D26="","",IF($D26&lt;=100,VLOOKUP($D26,'1-2'!$D$4:$L$103,7),IF($D26&lt;=200,VLOOKUP($D26,'随時①-2'!$D$4:$L$23,7),IF($D26&lt;=300,VLOOKUP($D26,'随時②-2'!$D$21:$L$35,7),VLOOKUP($D26,'2-4'!$D$4:$L$103,7)))))</f>
        <v>64000</v>
      </c>
      <c r="K26" s="316">
        <f>IF($D26="","",IF($D26&lt;=100,VLOOKUP($D26,'1-2'!$D$4:$L$103,8),IF($D26&lt;=200,VLOOKUP($D26,'随時①-2'!$D$4:$L$23,8),IF($D26&lt;=300,VLOOKUP($D26,'随時②-2'!$D$21:$L$35,8),VLOOKUP($D26,'2-4'!$D$4:$L$103,8)))))</f>
        <v>0</v>
      </c>
      <c r="L26" s="418">
        <f>IF($D26="","",IF($D26&lt;=100,VLOOKUP($D26,'1-2'!$D$4:$L$103,9),IF($D26&lt;=200,VLOOKUP($D26,'随時①-2'!$D$4:$L$23,9),IF($D26&lt;=300,VLOOKUP($D26,'随時②-2'!$D$21:$L$35,9),VLOOKUP($D26,'2-4'!$D$4:$L$103,9)))))</f>
        <v>0</v>
      </c>
    </row>
    <row r="27" spans="1:12" ht="14.25">
      <c r="A27" s="91"/>
      <c r="B27" s="67"/>
      <c r="C27" s="67"/>
      <c r="D27" s="412">
        <v>326</v>
      </c>
      <c r="E27" s="316" t="str">
        <f>IF($D27="","",IF($D27&lt;=100,VLOOKUP($D27,'1-2'!$D$4:$L$103,2),IF($D27&lt;=200,VLOOKUP($D27,'随時①-2'!$D$4:$L$23,2),IF($D27&lt;=300,VLOOKUP($D27,'随時②-2'!$D$21:$L$35,2),VLOOKUP($D27,'2-4'!$D$4:$L$103,2)))))</f>
        <v>消耗需用費</v>
      </c>
      <c r="F27" s="316" t="str">
        <f>IF($D27="","",IF($D27&lt;=100,VLOOKUP($D27,'1-2'!$D$4:$L$103,3),IF($D27&lt;=200,VLOOKUP($D27,'随時①-2'!$D$4:$L$23,3),IF($D27&lt;=300,VLOOKUP($D27,'随時②-2'!$D$21:$L$35,3),VLOOKUP($D27,'2-4'!$D$4:$L$103,3)))))</f>
        <v>ブルーレイ/DVDプレーヤー</v>
      </c>
      <c r="G27" s="225">
        <f>IF($D27="","",IF($D27&lt;=100,VLOOKUP($D27,'1-2'!$D$4:$L$103,4),IF($D27&lt;=200,VLOOKUP($D27,'随時①-2'!$D$4:$L$23,4),IF($D27&lt;=300,VLOOKUP($D27,'随時②-2'!$D$21:$L$35,4),VLOOKUP($D27,'2-4'!$D$4:$L$103,4)))))</f>
        <v>14904</v>
      </c>
      <c r="H27" s="317">
        <f>IF($D27="","",IF($D27&lt;=100,VLOOKUP($D27,'1-2'!$D$4:$L$103,5),IF($D27&lt;=200,VLOOKUP($D27,'随時①-2'!$D$4:$L$23,5),IF($D27&lt;=300,VLOOKUP($D27,'随時②-2'!$D$21:$L$35,5),VLOOKUP($D27,'2-4'!$D$4:$L$103,5)))))</f>
        <v>3</v>
      </c>
      <c r="I27" s="317">
        <f>IF($D27="","",IF($D27&lt;=100,VLOOKUP($D27,'1-2'!$D$4:$L$103,6),IF($D27&lt;=200,VLOOKUP($D27,'随時①-2'!$D$4:$L$23,6),IF($D27&lt;=300,VLOOKUP($D27,'随時②-2'!$D$21:$L$35,6),VLOOKUP($D27,'2-4'!$D$4:$L$103,6)))))</f>
        <v>1</v>
      </c>
      <c r="J27" s="225">
        <f>IF($D27="","",IF($D27&lt;=100,VLOOKUP($D27,'1-2'!$D$4:$L$103,7),IF($D27&lt;=200,VLOOKUP($D27,'随時①-2'!$D$4:$L$23,7),IF($D27&lt;=300,VLOOKUP($D27,'随時②-2'!$D$21:$L$35,7),VLOOKUP($D27,'2-4'!$D$4:$L$103,7)))))</f>
        <v>44712</v>
      </c>
      <c r="K27" s="316">
        <f>IF($D27="","",IF($D27&lt;=100,VLOOKUP($D27,'1-2'!$D$4:$L$103,8),IF($D27&lt;=200,VLOOKUP($D27,'随時①-2'!$D$4:$L$23,8),IF($D27&lt;=300,VLOOKUP($D27,'随時②-2'!$D$21:$L$35,8),VLOOKUP($D27,'2-4'!$D$4:$L$103,8)))))</f>
        <v>0</v>
      </c>
      <c r="L27" s="418">
        <f>IF($D27="","",IF($D27&lt;=100,VLOOKUP($D27,'1-2'!$D$4:$L$103,9),IF($D27&lt;=200,VLOOKUP($D27,'随時①-2'!$D$4:$L$23,9),IF($D27&lt;=300,VLOOKUP($D27,'随時②-2'!$D$21:$L$35,9),VLOOKUP($D27,'2-4'!$D$4:$L$103,9)))))</f>
        <v>0</v>
      </c>
    </row>
    <row r="28" spans="1:12" ht="14.25">
      <c r="A28" s="91"/>
      <c r="B28" s="67"/>
      <c r="C28" s="67"/>
      <c r="D28" s="412">
        <v>327</v>
      </c>
      <c r="E28" s="316" t="str">
        <f>IF($D28="","",IF($D28&lt;=100,VLOOKUP($D28,'1-2'!$D$4:$L$103,2),IF($D28&lt;=200,VLOOKUP($D28,'随時①-2'!$D$4:$L$23,2),IF($D28&lt;=300,VLOOKUP($D28,'随時②-2'!$D$21:$L$35,2),VLOOKUP($D28,'2-4'!$D$4:$L$103,2)))))</f>
        <v>消耗需用費</v>
      </c>
      <c r="F28" s="316" t="str">
        <f>IF($D28="","",IF($D28&lt;=100,VLOOKUP($D28,'1-2'!$D$4:$L$103,3),IF($D28&lt;=200,VLOOKUP($D28,'随時①-2'!$D$4:$L$23,3),IF($D28&lt;=300,VLOOKUP($D28,'随時②-2'!$D$21:$L$35,3),VLOOKUP($D28,'2-4'!$D$4:$L$103,3)))))</f>
        <v>HDMIケーブル（1.5m）</v>
      </c>
      <c r="G28" s="225">
        <f>IF($D28="","",IF($D28&lt;=100,VLOOKUP($D28,'1-2'!$D$4:$L$103,4),IF($D28&lt;=200,VLOOKUP($D28,'随時①-2'!$D$4:$L$23,4),IF($D28&lt;=300,VLOOKUP($D28,'随時②-2'!$D$21:$L$35,4),VLOOKUP($D28,'2-4'!$D$4:$L$103,4)))))</f>
        <v>2756</v>
      </c>
      <c r="H28" s="317">
        <f>IF($D28="","",IF($D28&lt;=100,VLOOKUP($D28,'1-2'!$D$4:$L$103,5),IF($D28&lt;=200,VLOOKUP($D28,'随時①-2'!$D$4:$L$23,5),IF($D28&lt;=300,VLOOKUP($D28,'随時②-2'!$D$21:$L$35,5),VLOOKUP($D28,'2-4'!$D$4:$L$103,5)))))</f>
        <v>2</v>
      </c>
      <c r="I28" s="317">
        <f>IF($D28="","",IF($D28&lt;=100,VLOOKUP($D28,'1-2'!$D$4:$L$103,6),IF($D28&lt;=200,VLOOKUP($D28,'随時①-2'!$D$4:$L$23,6),IF($D28&lt;=300,VLOOKUP($D28,'随時②-2'!$D$21:$L$35,6),VLOOKUP($D28,'2-4'!$D$4:$L$103,6)))))</f>
        <v>1</v>
      </c>
      <c r="J28" s="225">
        <f>IF($D28="","",IF($D28&lt;=100,VLOOKUP($D28,'1-2'!$D$4:$L$103,7),IF($D28&lt;=200,VLOOKUP($D28,'随時①-2'!$D$4:$L$23,7),IF($D28&lt;=300,VLOOKUP($D28,'随時②-2'!$D$21:$L$35,7),VLOOKUP($D28,'2-4'!$D$4:$L$103,7)))))</f>
        <v>5512</v>
      </c>
      <c r="K28" s="316">
        <f>IF($D28="","",IF($D28&lt;=100,VLOOKUP($D28,'1-2'!$D$4:$L$103,8),IF($D28&lt;=200,VLOOKUP($D28,'随時①-2'!$D$4:$L$23,8),IF($D28&lt;=300,VLOOKUP($D28,'随時②-2'!$D$21:$L$35,8),VLOOKUP($D28,'2-4'!$D$4:$L$103,8)))))</f>
        <v>0</v>
      </c>
      <c r="L28" s="418">
        <f>IF($D28="","",IF($D28&lt;=100,VLOOKUP($D28,'1-2'!$D$4:$L$103,9),IF($D28&lt;=200,VLOOKUP($D28,'随時①-2'!$D$4:$L$23,9),IF($D28&lt;=300,VLOOKUP($D28,'随時②-2'!$D$21:$L$35,9),VLOOKUP($D28,'2-4'!$D$4:$L$103,9)))))</f>
        <v>0</v>
      </c>
    </row>
    <row r="29" spans="1:12" ht="14.25">
      <c r="A29" s="91"/>
      <c r="B29" s="67"/>
      <c r="C29" s="67"/>
      <c r="D29" s="412">
        <v>328</v>
      </c>
      <c r="E29" s="316" t="str">
        <f>IF($D29="","",IF($D29&lt;=100,VLOOKUP($D29,'1-2'!$D$4:$L$103,2),IF($D29&lt;=200,VLOOKUP($D29,'随時①-2'!$D$4:$L$23,2),IF($D29&lt;=300,VLOOKUP($D29,'随時②-2'!$D$21:$L$35,2),VLOOKUP($D29,'2-4'!$D$4:$L$103,2)))))</f>
        <v>消耗需用費</v>
      </c>
      <c r="F29" s="316" t="str">
        <f>IF($D29="","",IF($D29&lt;=100,VLOOKUP($D29,'1-2'!$D$4:$L$103,3),IF($D29&lt;=200,VLOOKUP($D29,'随時①-2'!$D$4:$L$23,3),IF($D29&lt;=300,VLOOKUP($D29,'随時②-2'!$D$21:$L$35,3),VLOOKUP($D29,'2-4'!$D$4:$L$103,3)))))</f>
        <v>授業用テレビ</v>
      </c>
      <c r="G29" s="225">
        <f>IF($D29="","",IF($D29&lt;=100,VLOOKUP($D29,'1-2'!$D$4:$L$103,4),IF($D29&lt;=200,VLOOKUP($D29,'随時①-2'!$D$4:$L$23,4),IF($D29&lt;=300,VLOOKUP($D29,'随時②-2'!$D$21:$L$35,4),VLOOKUP($D29,'2-4'!$D$4:$L$103,4)))))</f>
        <v>31650</v>
      </c>
      <c r="H29" s="317">
        <f>IF($D29="","",IF($D29&lt;=100,VLOOKUP($D29,'1-2'!$D$4:$L$103,5),IF($D29&lt;=200,VLOOKUP($D29,'随時①-2'!$D$4:$L$23,5),IF($D29&lt;=300,VLOOKUP($D29,'随時②-2'!$D$21:$L$35,5),VLOOKUP($D29,'2-4'!$D$4:$L$103,5)))))</f>
        <v>3</v>
      </c>
      <c r="I29" s="317">
        <f>IF($D29="","",IF($D29&lt;=100,VLOOKUP($D29,'1-2'!$D$4:$L$103,6),IF($D29&lt;=200,VLOOKUP($D29,'随時①-2'!$D$4:$L$23,6),IF($D29&lt;=300,VLOOKUP($D29,'随時②-2'!$D$21:$L$35,6),VLOOKUP($D29,'2-4'!$D$4:$L$103,6)))))</f>
        <v>1</v>
      </c>
      <c r="J29" s="225">
        <f>IF($D29="","",IF($D29&lt;=100,VLOOKUP($D29,'1-2'!$D$4:$L$103,7),IF($D29&lt;=200,VLOOKUP($D29,'随時①-2'!$D$4:$L$23,7),IF($D29&lt;=300,VLOOKUP($D29,'随時②-2'!$D$21:$L$35,7),VLOOKUP($D29,'2-4'!$D$4:$L$103,7)))))</f>
        <v>94950</v>
      </c>
      <c r="K29" s="316">
        <f>IF($D29="","",IF($D29&lt;=100,VLOOKUP($D29,'1-2'!$D$4:$L$103,8),IF($D29&lt;=200,VLOOKUP($D29,'随時①-2'!$D$4:$L$23,8),IF($D29&lt;=300,VLOOKUP($D29,'随時②-2'!$D$21:$L$35,8),VLOOKUP($D29,'2-4'!$D$4:$L$103,8)))))</f>
        <v>0</v>
      </c>
      <c r="L29" s="418">
        <f>IF($D29="","",IF($D29&lt;=100,VLOOKUP($D29,'1-2'!$D$4:$L$103,9),IF($D29&lt;=200,VLOOKUP($D29,'随時①-2'!$D$4:$L$23,9),IF($D29&lt;=300,VLOOKUP($D29,'随時②-2'!$D$21:$L$35,9),VLOOKUP($D29,'2-4'!$D$4:$L$103,9)))))</f>
        <v>0</v>
      </c>
    </row>
    <row r="30" spans="1:12" ht="14.25">
      <c r="A30" s="91"/>
      <c r="B30" s="67"/>
      <c r="C30" s="67"/>
      <c r="D30" s="412">
        <v>329</v>
      </c>
      <c r="E30" s="316" t="str">
        <f>IF($D30="","",IF($D30&lt;=100,VLOOKUP($D30,'1-2'!$D$4:$L$103,2),IF($D30&lt;=200,VLOOKUP($D30,'随時①-2'!$D$4:$L$23,2),IF($D30&lt;=300,VLOOKUP($D30,'随時②-2'!$D$21:$L$35,2),VLOOKUP($D30,'2-4'!$D$4:$L$103,2)))))</f>
        <v>消耗需用費</v>
      </c>
      <c r="F30" s="316" t="str">
        <f>IF($D30="","",IF($D30&lt;=100,VLOOKUP($D30,'1-2'!$D$4:$L$103,3),IF($D30&lt;=200,VLOOKUP($D30,'随時①-2'!$D$4:$L$23,3),IF($D30&lt;=300,VLOOKUP($D30,'随時②-2'!$D$21:$L$35,3),VLOOKUP($D30,'2-4'!$D$4:$L$103,3)))))</f>
        <v>CDポータブルシステム</v>
      </c>
      <c r="G30" s="225">
        <f>IF($D30="","",IF($D30&lt;=100,VLOOKUP($D30,'1-2'!$D$4:$L$103,4),IF($D30&lt;=200,VLOOKUP($D30,'随時①-2'!$D$4:$L$23,4),IF($D30&lt;=300,VLOOKUP($D30,'随時②-2'!$D$21:$L$35,4),VLOOKUP($D30,'2-4'!$D$4:$L$103,4)))))</f>
        <v>26136</v>
      </c>
      <c r="H30" s="317">
        <f>IF($D30="","",IF($D30&lt;=100,VLOOKUP($D30,'1-2'!$D$4:$L$103,5),IF($D30&lt;=200,VLOOKUP($D30,'随時①-2'!$D$4:$L$23,5),IF($D30&lt;=300,VLOOKUP($D30,'随時②-2'!$D$21:$L$35,5),VLOOKUP($D30,'2-4'!$D$4:$L$103,5)))))</f>
        <v>1</v>
      </c>
      <c r="I30" s="317">
        <f>IF($D30="","",IF($D30&lt;=100,VLOOKUP($D30,'1-2'!$D$4:$L$103,6),IF($D30&lt;=200,VLOOKUP($D30,'随時①-2'!$D$4:$L$23,6),IF($D30&lt;=300,VLOOKUP($D30,'随時②-2'!$D$21:$L$35,6),VLOOKUP($D30,'2-4'!$D$4:$L$103,6)))))</f>
        <v>1</v>
      </c>
      <c r="J30" s="225">
        <f>IF($D30="","",IF($D30&lt;=100,VLOOKUP($D30,'1-2'!$D$4:$L$103,7),IF($D30&lt;=200,VLOOKUP($D30,'随時①-2'!$D$4:$L$23,7),IF($D30&lt;=300,VLOOKUP($D30,'随時②-2'!$D$21:$L$35,7),VLOOKUP($D30,'2-4'!$D$4:$L$103,7)))))</f>
        <v>26136</v>
      </c>
      <c r="K30" s="316">
        <f>IF($D30="","",IF($D30&lt;=100,VLOOKUP($D30,'1-2'!$D$4:$L$103,8),IF($D30&lt;=200,VLOOKUP($D30,'随時①-2'!$D$4:$L$23,8),IF($D30&lt;=300,VLOOKUP($D30,'随時②-2'!$D$21:$L$35,8),VLOOKUP($D30,'2-4'!$D$4:$L$103,8)))))</f>
        <v>0</v>
      </c>
      <c r="L30" s="418">
        <f>IF($D30="","",IF($D30&lt;=100,VLOOKUP($D30,'1-2'!$D$4:$L$103,9),IF($D30&lt;=200,VLOOKUP($D30,'随時①-2'!$D$4:$L$23,9),IF($D30&lt;=300,VLOOKUP($D30,'随時②-2'!$D$21:$L$35,9),VLOOKUP($D30,'2-4'!$D$4:$L$103,9)))))</f>
        <v>0</v>
      </c>
    </row>
    <row r="31" spans="1:12" ht="14.25">
      <c r="A31" s="91"/>
      <c r="B31" s="67"/>
      <c r="C31" s="67"/>
      <c r="D31" s="412">
        <v>330</v>
      </c>
      <c r="E31" s="316" t="str">
        <f>IF($D31="","",IF($D31&lt;=100,VLOOKUP($D31,'1-2'!$D$4:$L$103,2),IF($D31&lt;=200,VLOOKUP($D31,'随時①-2'!$D$4:$L$23,2),IF($D31&lt;=300,VLOOKUP($D31,'随時②-2'!$D$21:$L$35,2),VLOOKUP($D31,'2-4'!$D$4:$L$103,2)))))</f>
        <v>消耗需用費</v>
      </c>
      <c r="F31" s="316" t="str">
        <f>IF($D31="","",IF($D31&lt;=100,VLOOKUP($D31,'1-2'!$D$4:$L$103,3),IF($D31&lt;=200,VLOOKUP($D31,'随時①-2'!$D$4:$L$23,3),IF($D31&lt;=300,VLOOKUP($D31,'随時②-2'!$D$21:$L$35,3),VLOOKUP($D31,'2-4'!$D$4:$L$103,3)))))</f>
        <v>壁掛け用ワンウェイ掲示板</v>
      </c>
      <c r="G31" s="225">
        <f>IF($D31="","",IF($D31&lt;=100,VLOOKUP($D31,'1-2'!$D$4:$L$103,4),IF($D31&lt;=200,VLOOKUP($D31,'随時①-2'!$D$4:$L$23,4),IF($D31&lt;=300,VLOOKUP($D31,'随時②-2'!$D$21:$L$35,4),VLOOKUP($D31,'2-4'!$D$4:$L$103,4)))))</f>
        <v>0</v>
      </c>
      <c r="H31" s="317">
        <f>IF($D31="","",IF($D31&lt;=100,VLOOKUP($D31,'1-2'!$D$4:$L$103,5),IF($D31&lt;=200,VLOOKUP($D31,'随時①-2'!$D$4:$L$23,5),IF($D31&lt;=300,VLOOKUP($D31,'随時②-2'!$D$21:$L$35,5),VLOOKUP($D31,'2-4'!$D$4:$L$103,5)))))</f>
        <v>1</v>
      </c>
      <c r="I31" s="317">
        <f>IF($D31="","",IF($D31&lt;=100,VLOOKUP($D31,'1-2'!$D$4:$L$103,6),IF($D31&lt;=200,VLOOKUP($D31,'随時①-2'!$D$4:$L$23,6),IF($D31&lt;=300,VLOOKUP($D31,'随時②-2'!$D$21:$L$35,6),VLOOKUP($D31,'2-4'!$D$4:$L$103,6)))))</f>
        <v>1</v>
      </c>
      <c r="J31" s="225">
        <f>IF($D31="","",IF($D31&lt;=100,VLOOKUP($D31,'1-2'!$D$4:$L$103,7),IF($D31&lt;=200,VLOOKUP($D31,'随時①-2'!$D$4:$L$23,7),IF($D31&lt;=300,VLOOKUP($D31,'随時②-2'!$D$21:$L$35,7),VLOOKUP($D31,'2-4'!$D$4:$L$103,7)))))</f>
        <v>0</v>
      </c>
      <c r="K31" s="316">
        <f>IF($D31="","",IF($D31&lt;=100,VLOOKUP($D31,'1-2'!$D$4:$L$103,8),IF($D31&lt;=200,VLOOKUP($D31,'随時①-2'!$D$4:$L$23,8),IF($D31&lt;=300,VLOOKUP($D31,'随時②-2'!$D$21:$L$35,8),VLOOKUP($D31,'2-4'!$D$4:$L$103,8)))))</f>
        <v>0</v>
      </c>
      <c r="L31" s="418">
        <f>IF($D31="","",IF($D31&lt;=100,VLOOKUP($D31,'1-2'!$D$4:$L$103,9),IF($D31&lt;=200,VLOOKUP($D31,'随時①-2'!$D$4:$L$23,9),IF($D31&lt;=300,VLOOKUP($D31,'随時②-2'!$D$21:$L$35,9),VLOOKUP($D31,'2-4'!$D$4:$L$103,9)))))</f>
        <v>0</v>
      </c>
    </row>
    <row r="32" spans="1:12" ht="14.25">
      <c r="A32" s="91"/>
      <c r="B32" s="67"/>
      <c r="C32" s="67"/>
      <c r="D32" s="412">
        <v>331</v>
      </c>
      <c r="E32" s="316" t="str">
        <f>IF($D32="","",IF($D32&lt;=100,VLOOKUP($D32,'1-2'!$D$4:$L$103,2),IF($D32&lt;=200,VLOOKUP($D32,'随時①-2'!$D$4:$L$23,2),IF($D32&lt;=300,VLOOKUP($D32,'随時②-2'!$D$21:$L$35,2),VLOOKUP($D32,'2-4'!$D$4:$L$103,2)))))</f>
        <v>消耗需用費</v>
      </c>
      <c r="F32" s="316" t="str">
        <f>IF($D32="","",IF($D32&lt;=100,VLOOKUP($D32,'1-2'!$D$4:$L$103,3),IF($D32&lt;=200,VLOOKUP($D32,'随時①-2'!$D$4:$L$23,3),IF($D32&lt;=300,VLOOKUP($D32,'随時②-2'!$D$21:$L$35,3),VLOOKUP($D32,'2-4'!$D$4:$L$103,3)))))</f>
        <v>交換式クリヤーブック</v>
      </c>
      <c r="G32" s="225">
        <f>IF($D32="","",IF($D32&lt;=100,VLOOKUP($D32,'1-2'!$D$4:$L$103,4),IF($D32&lt;=200,VLOOKUP($D32,'随時①-2'!$D$4:$L$23,4),IF($D32&lt;=300,VLOOKUP($D32,'随時②-2'!$D$21:$L$35,4),VLOOKUP($D32,'2-4'!$D$4:$L$103,4)))))</f>
        <v>0</v>
      </c>
      <c r="H32" s="317">
        <f>IF($D32="","",IF($D32&lt;=100,VLOOKUP($D32,'1-2'!$D$4:$L$103,5),IF($D32&lt;=200,VLOOKUP($D32,'随時①-2'!$D$4:$L$23,5),IF($D32&lt;=300,VLOOKUP($D32,'随時②-2'!$D$21:$L$35,5),VLOOKUP($D32,'2-4'!$D$4:$L$103,5)))))</f>
        <v>15</v>
      </c>
      <c r="I32" s="317">
        <f>IF($D32="","",IF($D32&lt;=100,VLOOKUP($D32,'1-2'!$D$4:$L$103,6),IF($D32&lt;=200,VLOOKUP($D32,'随時①-2'!$D$4:$L$23,6),IF($D32&lt;=300,VLOOKUP($D32,'随時②-2'!$D$21:$L$35,6),VLOOKUP($D32,'2-4'!$D$4:$L$103,6)))))</f>
        <v>1</v>
      </c>
      <c r="J32" s="225">
        <f>IF($D32="","",IF($D32&lt;=100,VLOOKUP($D32,'1-2'!$D$4:$L$103,7),IF($D32&lt;=200,VLOOKUP($D32,'随時①-2'!$D$4:$L$23,7),IF($D32&lt;=300,VLOOKUP($D32,'随時②-2'!$D$21:$L$35,7),VLOOKUP($D32,'2-4'!$D$4:$L$103,7)))))</f>
        <v>0</v>
      </c>
      <c r="K32" s="316">
        <f>IF($D32="","",IF($D32&lt;=100,VLOOKUP($D32,'1-2'!$D$4:$L$103,8),IF($D32&lt;=200,VLOOKUP($D32,'随時①-2'!$D$4:$L$23,8),IF($D32&lt;=300,VLOOKUP($D32,'随時②-2'!$D$21:$L$35,8),VLOOKUP($D32,'2-4'!$D$4:$L$103,8)))))</f>
        <v>0</v>
      </c>
      <c r="L32" s="418">
        <f>IF($D32="","",IF($D32&lt;=100,VLOOKUP($D32,'1-2'!$D$4:$L$103,9),IF($D32&lt;=200,VLOOKUP($D32,'随時①-2'!$D$4:$L$23,9),IF($D32&lt;=300,VLOOKUP($D32,'随時②-2'!$D$21:$L$35,9),VLOOKUP($D32,'2-4'!$D$4:$L$103,9)))))</f>
        <v>0</v>
      </c>
    </row>
    <row r="33" spans="1:12" ht="14.25">
      <c r="A33" s="91"/>
      <c r="B33" s="67"/>
      <c r="C33" s="67"/>
      <c r="D33" s="412">
        <v>332</v>
      </c>
      <c r="E33" s="316" t="str">
        <f>IF($D33="","",IF($D33&lt;=100,VLOOKUP($D33,'1-2'!$D$4:$L$103,2),IF($D33&lt;=200,VLOOKUP($D33,'随時①-2'!$D$4:$L$23,2),IF($D33&lt;=300,VLOOKUP($D33,'随時②-2'!$D$21:$L$35,2),VLOOKUP($D33,'2-4'!$D$4:$L$103,2)))))</f>
        <v>消耗需用費</v>
      </c>
      <c r="F33" s="316" t="str">
        <f>IF($D33="","",IF($D33&lt;=100,VLOOKUP($D33,'1-2'!$D$4:$L$103,3),IF($D33&lt;=200,VLOOKUP($D33,'随時①-2'!$D$4:$L$23,3),IF($D33&lt;=300,VLOOKUP($D33,'随時②-2'!$D$21:$L$35,3),VLOOKUP($D33,'2-4'!$D$4:$L$103,3)))))</f>
        <v>ファイルワゴン</v>
      </c>
      <c r="G33" s="225">
        <f>IF($D33="","",IF($D33&lt;=100,VLOOKUP($D33,'1-2'!$D$4:$L$103,4),IF($D33&lt;=200,VLOOKUP($D33,'随時①-2'!$D$4:$L$23,4),IF($D33&lt;=300,VLOOKUP($D33,'随時②-2'!$D$21:$L$35,4),VLOOKUP($D33,'2-4'!$D$4:$L$103,4)))))</f>
        <v>0</v>
      </c>
      <c r="H33" s="317">
        <f>IF($D33="","",IF($D33&lt;=100,VLOOKUP($D33,'1-2'!$D$4:$L$103,5),IF($D33&lt;=200,VLOOKUP($D33,'随時①-2'!$D$4:$L$23,5),IF($D33&lt;=300,VLOOKUP($D33,'随時②-2'!$D$21:$L$35,5),VLOOKUP($D33,'2-4'!$D$4:$L$103,5)))))</f>
        <v>1</v>
      </c>
      <c r="I33" s="317">
        <f>IF($D33="","",IF($D33&lt;=100,VLOOKUP($D33,'1-2'!$D$4:$L$103,6),IF($D33&lt;=200,VLOOKUP($D33,'随時①-2'!$D$4:$L$23,6),IF($D33&lt;=300,VLOOKUP($D33,'随時②-2'!$D$21:$L$35,6),VLOOKUP($D33,'2-4'!$D$4:$L$103,6)))))</f>
        <v>1</v>
      </c>
      <c r="J33" s="225">
        <f>IF($D33="","",IF($D33&lt;=100,VLOOKUP($D33,'1-2'!$D$4:$L$103,7),IF($D33&lt;=200,VLOOKUP($D33,'随時①-2'!$D$4:$L$23,7),IF($D33&lt;=300,VLOOKUP($D33,'随時②-2'!$D$21:$L$35,7),VLOOKUP($D33,'2-4'!$D$4:$L$103,7)))))</f>
        <v>0</v>
      </c>
      <c r="K33" s="316">
        <f>IF($D33="","",IF($D33&lt;=100,VLOOKUP($D33,'1-2'!$D$4:$L$103,8),IF($D33&lt;=200,VLOOKUP($D33,'随時①-2'!$D$4:$L$23,8),IF($D33&lt;=300,VLOOKUP($D33,'随時②-2'!$D$21:$L$35,8),VLOOKUP($D33,'2-4'!$D$4:$L$103,8)))))</f>
        <v>0</v>
      </c>
      <c r="L33" s="418">
        <f>IF($D33="","",IF($D33&lt;=100,VLOOKUP($D33,'1-2'!$D$4:$L$103,9),IF($D33&lt;=200,VLOOKUP($D33,'随時①-2'!$D$4:$L$23,9),IF($D33&lt;=300,VLOOKUP($D33,'随時②-2'!$D$21:$L$35,9),VLOOKUP($D33,'2-4'!$D$4:$L$103,9)))))</f>
        <v>0</v>
      </c>
    </row>
    <row r="34" spans="1:12" ht="14.25">
      <c r="A34" s="91"/>
      <c r="B34" s="67"/>
      <c r="C34" s="67"/>
      <c r="D34" s="412">
        <v>333</v>
      </c>
      <c r="E34" s="316" t="str">
        <f>IF($D34="","",IF($D34&lt;=100,VLOOKUP($D34,'1-2'!$D$4:$L$103,2),IF($D34&lt;=200,VLOOKUP($D34,'随時①-2'!$D$4:$L$23,2),IF($D34&lt;=300,VLOOKUP($D34,'随時②-2'!$D$21:$L$35,2),VLOOKUP($D34,'2-4'!$D$4:$L$103,2)))))</f>
        <v>消耗需用費</v>
      </c>
      <c r="F34" s="316" t="str">
        <f>IF($D34="","",IF($D34&lt;=100,VLOOKUP($D34,'1-2'!$D$4:$L$103,3),IF($D34&lt;=200,VLOOKUP($D34,'随時①-2'!$D$4:$L$23,3),IF($D34&lt;=300,VLOOKUP($D34,'随時②-2'!$D$21:$L$35,3),VLOOKUP($D34,'2-4'!$D$4:$L$103,3)))))</f>
        <v>クリヤーポケット</v>
      </c>
      <c r="G34" s="225">
        <f>IF($D34="","",IF($D34&lt;=100,VLOOKUP($D34,'1-2'!$D$4:$L$103,4),IF($D34&lt;=200,VLOOKUP($D34,'随時①-2'!$D$4:$L$23,4),IF($D34&lt;=300,VLOOKUP($D34,'随時②-2'!$D$21:$L$35,4),VLOOKUP($D34,'2-4'!$D$4:$L$103,4)))))</f>
        <v>0</v>
      </c>
      <c r="H34" s="317">
        <f>IF($D34="","",IF($D34&lt;=100,VLOOKUP($D34,'1-2'!$D$4:$L$103,5),IF($D34&lt;=200,VLOOKUP($D34,'随時①-2'!$D$4:$L$23,5),IF($D34&lt;=300,VLOOKUP($D34,'随時②-2'!$D$21:$L$35,5),VLOOKUP($D34,'2-4'!$D$4:$L$103,5)))))</f>
        <v>1</v>
      </c>
      <c r="I34" s="317">
        <f>IF($D34="","",IF($D34&lt;=100,VLOOKUP($D34,'1-2'!$D$4:$L$103,6),IF($D34&lt;=200,VLOOKUP($D34,'随時①-2'!$D$4:$L$23,6),IF($D34&lt;=300,VLOOKUP($D34,'随時②-2'!$D$21:$L$35,6),VLOOKUP($D34,'2-4'!$D$4:$L$103,6)))))</f>
        <v>1</v>
      </c>
      <c r="J34" s="225">
        <f>IF($D34="","",IF($D34&lt;=100,VLOOKUP($D34,'1-2'!$D$4:$L$103,7),IF($D34&lt;=200,VLOOKUP($D34,'随時①-2'!$D$4:$L$23,7),IF($D34&lt;=300,VLOOKUP($D34,'随時②-2'!$D$21:$L$35,7),VLOOKUP($D34,'2-4'!$D$4:$L$103,7)))))</f>
        <v>0</v>
      </c>
      <c r="K34" s="316">
        <f>IF($D34="","",IF($D34&lt;=100,VLOOKUP($D34,'1-2'!$D$4:$L$103,8),IF($D34&lt;=200,VLOOKUP($D34,'随時①-2'!$D$4:$L$23,8),IF($D34&lt;=300,VLOOKUP($D34,'随時②-2'!$D$21:$L$35,8),VLOOKUP($D34,'2-4'!$D$4:$L$103,8)))))</f>
        <v>0</v>
      </c>
      <c r="L34" s="418">
        <f>IF($D34="","",IF($D34&lt;=100,VLOOKUP($D34,'1-2'!$D$4:$L$103,9),IF($D34&lt;=200,VLOOKUP($D34,'随時①-2'!$D$4:$L$23,9),IF($D34&lt;=300,VLOOKUP($D34,'随時②-2'!$D$21:$L$35,9),VLOOKUP($D34,'2-4'!$D$4:$L$103,9)))))</f>
        <v>0</v>
      </c>
    </row>
    <row r="35" spans="1:12" ht="14.25">
      <c r="A35" s="91"/>
      <c r="B35" s="67"/>
      <c r="C35" s="67"/>
      <c r="D35" s="412">
        <v>334</v>
      </c>
      <c r="E35" s="316" t="str">
        <f>IF($D35="","",IF($D35&lt;=100,VLOOKUP($D35,'1-2'!$D$4:$L$103,2),IF($D35&lt;=200,VLOOKUP($D35,'随時①-2'!$D$4:$L$23,2),IF($D35&lt;=300,VLOOKUP($D35,'随時②-2'!$D$21:$L$35,2),VLOOKUP($D35,'2-4'!$D$4:$L$103,2)))))</f>
        <v>消耗需用費</v>
      </c>
      <c r="F35" s="316" t="str">
        <f>IF($D35="","",IF($D35&lt;=100,VLOOKUP($D35,'1-2'!$D$4:$L$103,3),IF($D35&lt;=200,VLOOKUP($D35,'随時①-2'!$D$4:$L$23,3),IF($D35&lt;=300,VLOOKUP($D35,'随時②-2'!$D$21:$L$35,3),VLOOKUP($D35,'2-4'!$D$4:$L$103,3)))))</f>
        <v>ジュースミキサー</v>
      </c>
      <c r="G35" s="225">
        <f>IF($D35="","",IF($D35&lt;=100,VLOOKUP($D35,'1-2'!$D$4:$L$103,4),IF($D35&lt;=200,VLOOKUP($D35,'随時①-2'!$D$4:$L$23,4),IF($D35&lt;=300,VLOOKUP($D35,'随時②-2'!$D$21:$L$35,4),VLOOKUP($D35,'2-4'!$D$4:$L$103,4)))))</f>
        <v>3341</v>
      </c>
      <c r="H35" s="317">
        <f>IF($D35="","",IF($D35&lt;=100,VLOOKUP($D35,'1-2'!$D$4:$L$103,5),IF($D35&lt;=200,VLOOKUP($D35,'随時①-2'!$D$4:$L$23,5),IF($D35&lt;=300,VLOOKUP($D35,'随時②-2'!$D$21:$L$35,5),VLOOKUP($D35,'2-4'!$D$4:$L$103,5)))))</f>
        <v>3</v>
      </c>
      <c r="I35" s="317">
        <f>IF($D35="","",IF($D35&lt;=100,VLOOKUP($D35,'1-2'!$D$4:$L$103,6),IF($D35&lt;=200,VLOOKUP($D35,'随時①-2'!$D$4:$L$23,6),IF($D35&lt;=300,VLOOKUP($D35,'随時②-2'!$D$21:$L$35,6),VLOOKUP($D35,'2-4'!$D$4:$L$103,6)))))</f>
        <v>1</v>
      </c>
      <c r="J35" s="225">
        <f>IF($D35="","",IF($D35&lt;=100,VLOOKUP($D35,'1-2'!$D$4:$L$103,7),IF($D35&lt;=200,VLOOKUP($D35,'随時①-2'!$D$4:$L$23,7),IF($D35&lt;=300,VLOOKUP($D35,'随時②-2'!$D$21:$L$35,7),VLOOKUP($D35,'2-4'!$D$4:$L$103,7)))))</f>
        <v>10023</v>
      </c>
      <c r="K35" s="316">
        <f>IF($D35="","",IF($D35&lt;=100,VLOOKUP($D35,'1-2'!$D$4:$L$103,8),IF($D35&lt;=200,VLOOKUP($D35,'随時①-2'!$D$4:$L$23,8),IF($D35&lt;=300,VLOOKUP($D35,'随時②-2'!$D$21:$L$35,8),VLOOKUP($D35,'2-4'!$D$4:$L$103,8)))))</f>
        <v>0</v>
      </c>
      <c r="L35" s="418">
        <f>IF($D35="","",IF($D35&lt;=100,VLOOKUP($D35,'1-2'!$D$4:$L$103,9),IF($D35&lt;=200,VLOOKUP($D35,'随時①-2'!$D$4:$L$23,9),IF($D35&lt;=300,VLOOKUP($D35,'随時②-2'!$D$21:$L$35,9),VLOOKUP($D35,'2-4'!$D$4:$L$103,9)))))</f>
        <v>0</v>
      </c>
    </row>
    <row r="36" spans="1:12" ht="14.25">
      <c r="A36" s="91"/>
      <c r="B36" s="67"/>
      <c r="C36" s="67"/>
      <c r="D36" s="412">
        <v>335</v>
      </c>
      <c r="E36" s="316" t="str">
        <f>IF($D36="","",IF($D36&lt;=100,VLOOKUP($D36,'1-2'!$D$4:$L$103,2),IF($D36&lt;=200,VLOOKUP($D36,'随時①-2'!$D$4:$L$23,2),IF($D36&lt;=300,VLOOKUP($D36,'随時②-2'!$D$21:$L$35,2),VLOOKUP($D36,'2-4'!$D$4:$L$103,2)))))</f>
        <v>消耗需用費</v>
      </c>
      <c r="F36" s="316" t="str">
        <f>IF($D36="","",IF($D36&lt;=100,VLOOKUP($D36,'1-2'!$D$4:$L$103,3),IF($D36&lt;=200,VLOOKUP($D36,'随時①-2'!$D$4:$L$23,3),IF($D36&lt;=300,VLOOKUP($D36,'随時②-2'!$D$21:$L$35,3),VLOOKUP($D36,'2-4'!$D$4:$L$103,3)))))</f>
        <v>整理theパック（チャック付ポリ袋）</v>
      </c>
      <c r="G36" s="225">
        <f>IF($D36="","",IF($D36&lt;=100,VLOOKUP($D36,'1-2'!$D$4:$L$103,4),IF($D36&lt;=200,VLOOKUP($D36,'随時①-2'!$D$4:$L$23,4),IF($D36&lt;=300,VLOOKUP($D36,'随時②-2'!$D$21:$L$35,4),VLOOKUP($D36,'2-4'!$D$4:$L$103,4)))))</f>
        <v>173</v>
      </c>
      <c r="H36" s="317">
        <f>IF($D36="","",IF($D36&lt;=100,VLOOKUP($D36,'1-2'!$D$4:$L$103,5),IF($D36&lt;=200,VLOOKUP($D36,'随時①-2'!$D$4:$L$23,5),IF($D36&lt;=300,VLOOKUP($D36,'随時②-2'!$D$21:$L$35,5),VLOOKUP($D36,'2-4'!$D$4:$L$103,5)))))</f>
        <v>100</v>
      </c>
      <c r="I36" s="317">
        <f>IF($D36="","",IF($D36&lt;=100,VLOOKUP($D36,'1-2'!$D$4:$L$103,6),IF($D36&lt;=200,VLOOKUP($D36,'随時①-2'!$D$4:$L$23,6),IF($D36&lt;=300,VLOOKUP($D36,'随時②-2'!$D$21:$L$35,6),VLOOKUP($D36,'2-4'!$D$4:$L$103,6)))))</f>
        <v>1</v>
      </c>
      <c r="J36" s="225">
        <f>IF($D36="","",IF($D36&lt;=100,VLOOKUP($D36,'1-2'!$D$4:$L$103,7),IF($D36&lt;=200,VLOOKUP($D36,'随時①-2'!$D$4:$L$23,7),IF($D36&lt;=300,VLOOKUP($D36,'随時②-2'!$D$21:$L$35,7),VLOOKUP($D36,'2-4'!$D$4:$L$103,7)))))</f>
        <v>17300</v>
      </c>
      <c r="K36" s="316">
        <f>IF($D36="","",IF($D36&lt;=100,VLOOKUP($D36,'1-2'!$D$4:$L$103,8),IF($D36&lt;=200,VLOOKUP($D36,'随時①-2'!$D$4:$L$23,8),IF($D36&lt;=300,VLOOKUP($D36,'随時②-2'!$D$21:$L$35,8),VLOOKUP($D36,'2-4'!$D$4:$L$103,8)))))</f>
        <v>0</v>
      </c>
      <c r="L36" s="418">
        <f>IF($D36="","",IF($D36&lt;=100,VLOOKUP($D36,'1-2'!$D$4:$L$103,9),IF($D36&lt;=200,VLOOKUP($D36,'随時①-2'!$D$4:$L$23,9),IF($D36&lt;=300,VLOOKUP($D36,'随時②-2'!$D$21:$L$35,9),VLOOKUP($D36,'2-4'!$D$4:$L$103,9)))))</f>
        <v>0</v>
      </c>
    </row>
    <row r="37" spans="1:12" ht="14.25">
      <c r="A37" s="91"/>
      <c r="B37" s="67"/>
      <c r="C37" s="67"/>
      <c r="D37" s="412">
        <v>336</v>
      </c>
      <c r="E37" s="316" t="str">
        <f>IF($D37="","",IF($D37&lt;=100,VLOOKUP($D37,'1-2'!$D$4:$L$103,2),IF($D37&lt;=200,VLOOKUP($D37,'随時①-2'!$D$4:$L$23,2),IF($D37&lt;=300,VLOOKUP($D37,'随時②-2'!$D$21:$L$35,2),VLOOKUP($D37,'2-4'!$D$4:$L$103,2)))))</f>
        <v>消耗需用費</v>
      </c>
      <c r="F37" s="316" t="str">
        <f>IF($D37="","",IF($D37&lt;=100,VLOOKUP($D37,'1-2'!$D$4:$L$103,3),IF($D37&lt;=200,VLOOKUP($D37,'随時①-2'!$D$4:$L$23,3),IF($D37&lt;=300,VLOOKUP($D37,'随時②-2'!$D$21:$L$35,3),VLOOKUP($D37,'2-4'!$D$4:$L$103,3)))))</f>
        <v>紙すきセット（はがき）</v>
      </c>
      <c r="G37" s="225">
        <f>IF($D37="","",IF($D37&lt;=100,VLOOKUP($D37,'1-2'!$D$4:$L$103,4),IF($D37&lt;=200,VLOOKUP($D37,'随時①-2'!$D$4:$L$23,4),IF($D37&lt;=300,VLOOKUP($D37,'随時②-2'!$D$21:$L$35,4),VLOOKUP($D37,'2-4'!$D$4:$L$103,4)))))</f>
        <v>1296</v>
      </c>
      <c r="H37" s="317">
        <f>IF($D37="","",IF($D37&lt;=100,VLOOKUP($D37,'1-2'!$D$4:$L$103,5),IF($D37&lt;=200,VLOOKUP($D37,'随時①-2'!$D$4:$L$23,5),IF($D37&lt;=300,VLOOKUP($D37,'随時②-2'!$D$21:$L$35,5),VLOOKUP($D37,'2-4'!$D$4:$L$103,5)))))</f>
        <v>15</v>
      </c>
      <c r="I37" s="317">
        <f>IF($D37="","",IF($D37&lt;=100,VLOOKUP($D37,'1-2'!$D$4:$L$103,6),IF($D37&lt;=200,VLOOKUP($D37,'随時①-2'!$D$4:$L$23,6),IF($D37&lt;=300,VLOOKUP($D37,'随時②-2'!$D$21:$L$35,6),VLOOKUP($D37,'2-4'!$D$4:$L$103,6)))))</f>
        <v>1</v>
      </c>
      <c r="J37" s="225">
        <f>IF($D37="","",IF($D37&lt;=100,VLOOKUP($D37,'1-2'!$D$4:$L$103,7),IF($D37&lt;=200,VLOOKUP($D37,'随時①-2'!$D$4:$L$23,7),IF($D37&lt;=300,VLOOKUP($D37,'随時②-2'!$D$21:$L$35,7),VLOOKUP($D37,'2-4'!$D$4:$L$103,7)))))</f>
        <v>19440</v>
      </c>
      <c r="K37" s="316">
        <f>IF($D37="","",IF($D37&lt;=100,VLOOKUP($D37,'1-2'!$D$4:$L$103,8),IF($D37&lt;=200,VLOOKUP($D37,'随時①-2'!$D$4:$L$23,8),IF($D37&lt;=300,VLOOKUP($D37,'随時②-2'!$D$21:$L$35,8),VLOOKUP($D37,'2-4'!$D$4:$L$103,8)))))</f>
        <v>0</v>
      </c>
      <c r="L37" s="418">
        <f>IF($D37="","",IF($D37&lt;=100,VLOOKUP($D37,'1-2'!$D$4:$L$103,9),IF($D37&lt;=200,VLOOKUP($D37,'随時①-2'!$D$4:$L$23,9),IF($D37&lt;=300,VLOOKUP($D37,'随時②-2'!$D$21:$L$35,9),VLOOKUP($D37,'2-4'!$D$4:$L$103,9)))))</f>
        <v>0</v>
      </c>
    </row>
    <row r="38" spans="1:12" ht="14.25">
      <c r="A38" s="91"/>
      <c r="B38" s="67"/>
      <c r="C38" s="67"/>
      <c r="D38" s="412">
        <v>337</v>
      </c>
      <c r="E38" s="316" t="str">
        <f>IF($D38="","",IF($D38&lt;=100,VLOOKUP($D38,'1-2'!$D$4:$L$103,2),IF($D38&lt;=200,VLOOKUP($D38,'随時①-2'!$D$4:$L$23,2),IF($D38&lt;=300,VLOOKUP($D38,'随時②-2'!$D$21:$L$35,2),VLOOKUP($D38,'2-4'!$D$4:$L$103,2)))))</f>
        <v>消耗需用費</v>
      </c>
      <c r="F38" s="316" t="str">
        <f>IF($D38="","",IF($D38&lt;=100,VLOOKUP($D38,'1-2'!$D$4:$L$103,3),IF($D38&lt;=200,VLOOKUP($D38,'随時①-2'!$D$4:$L$23,3),IF($D38&lt;=300,VLOOKUP($D38,'随時②-2'!$D$21:$L$35,3),VLOOKUP($D38,'2-4'!$D$4:$L$103,3)))))</f>
        <v>ディスクカッター ２０枚</v>
      </c>
      <c r="G38" s="225">
        <f>IF($D38="","",IF($D38&lt;=100,VLOOKUP($D38,'1-2'!$D$4:$L$103,4),IF($D38&lt;=200,VLOOKUP($D38,'随時①-2'!$D$4:$L$23,4),IF($D38&lt;=300,VLOOKUP($D38,'随時②-2'!$D$21:$L$35,4),VLOOKUP($D38,'2-4'!$D$4:$L$103,4)))))</f>
        <v>7344</v>
      </c>
      <c r="H38" s="317">
        <f>IF($D38="","",IF($D38&lt;=100,VLOOKUP($D38,'1-2'!$D$4:$L$103,5),IF($D38&lt;=200,VLOOKUP($D38,'随時①-2'!$D$4:$L$23,5),IF($D38&lt;=300,VLOOKUP($D38,'随時②-2'!$D$21:$L$35,5),VLOOKUP($D38,'2-4'!$D$4:$L$103,5)))))</f>
        <v>3</v>
      </c>
      <c r="I38" s="317">
        <f>IF($D38="","",IF($D38&lt;=100,VLOOKUP($D38,'1-2'!$D$4:$L$103,6),IF($D38&lt;=200,VLOOKUP($D38,'随時①-2'!$D$4:$L$23,6),IF($D38&lt;=300,VLOOKUP($D38,'随時②-2'!$D$21:$L$35,6),VLOOKUP($D38,'2-4'!$D$4:$L$103,6)))))</f>
        <v>1</v>
      </c>
      <c r="J38" s="225">
        <f>IF($D38="","",IF($D38&lt;=100,VLOOKUP($D38,'1-2'!$D$4:$L$103,7),IF($D38&lt;=200,VLOOKUP($D38,'随時①-2'!$D$4:$L$23,7),IF($D38&lt;=300,VLOOKUP($D38,'随時②-2'!$D$21:$L$35,7),VLOOKUP($D38,'2-4'!$D$4:$L$103,7)))))</f>
        <v>22032</v>
      </c>
      <c r="K38" s="316">
        <f>IF($D38="","",IF($D38&lt;=100,VLOOKUP($D38,'1-2'!$D$4:$L$103,8),IF($D38&lt;=200,VLOOKUP($D38,'随時①-2'!$D$4:$L$23,8),IF($D38&lt;=300,VLOOKUP($D38,'随時②-2'!$D$21:$L$35,8),VLOOKUP($D38,'2-4'!$D$4:$L$103,8)))))</f>
        <v>0</v>
      </c>
      <c r="L38" s="418">
        <f>IF($D38="","",IF($D38&lt;=100,VLOOKUP($D38,'1-2'!$D$4:$L$103,9),IF($D38&lt;=200,VLOOKUP($D38,'随時①-2'!$D$4:$L$23,9),IF($D38&lt;=300,VLOOKUP($D38,'随時②-2'!$D$21:$L$35,9),VLOOKUP($D38,'2-4'!$D$4:$L$103,9)))))</f>
        <v>0</v>
      </c>
    </row>
    <row r="39" spans="1:12" ht="14.25">
      <c r="A39" s="91"/>
      <c r="B39" s="67"/>
      <c r="C39" s="67"/>
      <c r="D39" s="412">
        <v>338</v>
      </c>
      <c r="E39" s="316" t="str">
        <f>IF($D39="","",IF($D39&lt;=100,VLOOKUP($D39,'1-2'!$D$4:$L$103,2),IF($D39&lt;=200,VLOOKUP($D39,'随時①-2'!$D$4:$L$23,2),IF($D39&lt;=300,VLOOKUP($D39,'随時②-2'!$D$21:$L$35,2),VLOOKUP($D39,'2-4'!$D$4:$L$103,2)))))</f>
        <v>消耗需用費</v>
      </c>
      <c r="F39" s="316" t="str">
        <f>IF($D39="","",IF($D39&lt;=100,VLOOKUP($D39,'1-2'!$D$4:$L$103,3),IF($D39&lt;=200,VLOOKUP($D39,'随時①-2'!$D$4:$L$23,3),IF($D39&lt;=300,VLOOKUP($D39,'随時②-2'!$D$21:$L$35,3),VLOOKUP($D39,'2-4'!$D$4:$L$103,3)))))</f>
        <v>封筒作成用　クラフト紙</v>
      </c>
      <c r="G39" s="225">
        <f>IF($D39="","",IF($D39&lt;=100,VLOOKUP($D39,'1-2'!$D$4:$L$103,4),IF($D39&lt;=200,VLOOKUP($D39,'随時①-2'!$D$4:$L$23,4),IF($D39&lt;=300,VLOOKUP($D39,'随時②-2'!$D$21:$L$35,4),VLOOKUP($D39,'2-4'!$D$4:$L$103,4)))))</f>
        <v>5760</v>
      </c>
      <c r="H39" s="317">
        <f>IF($D39="","",IF($D39&lt;=100,VLOOKUP($D39,'1-2'!$D$4:$L$103,5),IF($D39&lt;=200,VLOOKUP($D39,'随時①-2'!$D$4:$L$23,5),IF($D39&lt;=300,VLOOKUP($D39,'随時②-2'!$D$21:$L$35,5),VLOOKUP($D39,'2-4'!$D$4:$L$103,5)))))</f>
        <v>1</v>
      </c>
      <c r="I39" s="317">
        <f>IF($D39="","",IF($D39&lt;=100,VLOOKUP($D39,'1-2'!$D$4:$L$103,6),IF($D39&lt;=200,VLOOKUP($D39,'随時①-2'!$D$4:$L$23,6),IF($D39&lt;=300,VLOOKUP($D39,'随時②-2'!$D$21:$L$35,6),VLOOKUP($D39,'2-4'!$D$4:$L$103,6)))))</f>
        <v>1</v>
      </c>
      <c r="J39" s="225">
        <f>IF($D39="","",IF($D39&lt;=100,VLOOKUP($D39,'1-2'!$D$4:$L$103,7),IF($D39&lt;=200,VLOOKUP($D39,'随時①-2'!$D$4:$L$23,7),IF($D39&lt;=300,VLOOKUP($D39,'随時②-2'!$D$21:$L$35,7),VLOOKUP($D39,'2-4'!$D$4:$L$103,7)))))</f>
        <v>5760</v>
      </c>
      <c r="K39" s="316">
        <f>IF($D39="","",IF($D39&lt;=100,VLOOKUP($D39,'1-2'!$D$4:$L$103,8),IF($D39&lt;=200,VLOOKUP($D39,'随時①-2'!$D$4:$L$23,8),IF($D39&lt;=300,VLOOKUP($D39,'随時②-2'!$D$21:$L$35,8),VLOOKUP($D39,'2-4'!$D$4:$L$103,8)))))</f>
        <v>0</v>
      </c>
      <c r="L39" s="418">
        <f>IF($D39="","",IF($D39&lt;=100,VLOOKUP($D39,'1-2'!$D$4:$L$103,9),IF($D39&lt;=200,VLOOKUP($D39,'随時①-2'!$D$4:$L$23,9),IF($D39&lt;=300,VLOOKUP($D39,'随時②-2'!$D$21:$L$35,9),VLOOKUP($D39,'2-4'!$D$4:$L$103,9)))))</f>
        <v>0</v>
      </c>
    </row>
    <row r="40" spans="1:12" ht="14.25">
      <c r="A40" s="91"/>
      <c r="B40" s="67"/>
      <c r="C40" s="67"/>
      <c r="D40" s="412">
        <v>339</v>
      </c>
      <c r="E40" s="316" t="str">
        <f>IF($D40="","",IF($D40&lt;=100,VLOOKUP($D40,'1-2'!$D$4:$L$103,2),IF($D40&lt;=200,VLOOKUP($D40,'随時①-2'!$D$4:$L$23,2),IF($D40&lt;=300,VLOOKUP($D40,'随時②-2'!$D$21:$L$35,2),VLOOKUP($D40,'2-4'!$D$4:$L$103,2)))))</f>
        <v>消耗需用費</v>
      </c>
      <c r="F40" s="316" t="str">
        <f>IF($D40="","",IF($D40&lt;=100,VLOOKUP($D40,'1-2'!$D$4:$L$103,3),IF($D40&lt;=200,VLOOKUP($D40,'随時①-2'!$D$4:$L$23,3),IF($D40&lt;=300,VLOOKUP($D40,'随時②-2'!$D$21:$L$35,3),VLOOKUP($D40,'2-4'!$D$4:$L$103,3)))))</f>
        <v>エルチャレンジ　清掃技能ＤＶＤ</v>
      </c>
      <c r="G40" s="225">
        <f>IF($D40="","",IF($D40&lt;=100,VLOOKUP($D40,'1-2'!$D$4:$L$103,4),IF($D40&lt;=200,VLOOKUP($D40,'随時①-2'!$D$4:$L$23,4),IF($D40&lt;=300,VLOOKUP($D40,'随時②-2'!$D$21:$L$35,4),VLOOKUP($D40,'2-4'!$D$4:$L$103,4)))))</f>
        <v>8400</v>
      </c>
      <c r="H40" s="317">
        <f>IF($D40="","",IF($D40&lt;=100,VLOOKUP($D40,'1-2'!$D$4:$L$103,5),IF($D40&lt;=200,VLOOKUP($D40,'随時①-2'!$D$4:$L$23,5),IF($D40&lt;=300,VLOOKUP($D40,'随時②-2'!$D$21:$L$35,5),VLOOKUP($D40,'2-4'!$D$4:$L$103,5)))))</f>
        <v>1</v>
      </c>
      <c r="I40" s="317">
        <f>IF($D40="","",IF($D40&lt;=100,VLOOKUP($D40,'1-2'!$D$4:$L$103,6),IF($D40&lt;=200,VLOOKUP($D40,'随時①-2'!$D$4:$L$23,6),IF($D40&lt;=300,VLOOKUP($D40,'随時②-2'!$D$21:$L$35,6),VLOOKUP($D40,'2-4'!$D$4:$L$103,6)))))</f>
        <v>1</v>
      </c>
      <c r="J40" s="225">
        <f>IF($D40="","",IF($D40&lt;=100,VLOOKUP($D40,'1-2'!$D$4:$L$103,7),IF($D40&lt;=200,VLOOKUP($D40,'随時①-2'!$D$4:$L$23,7),IF($D40&lt;=300,VLOOKUP($D40,'随時②-2'!$D$21:$L$35,7),VLOOKUP($D40,'2-4'!$D$4:$L$103,7)))))</f>
        <v>8400</v>
      </c>
      <c r="K40" s="316">
        <f>IF($D40="","",IF($D40&lt;=100,VLOOKUP($D40,'1-2'!$D$4:$L$103,8),IF($D40&lt;=200,VLOOKUP($D40,'随時①-2'!$D$4:$L$23,8),IF($D40&lt;=300,VLOOKUP($D40,'随時②-2'!$D$21:$L$35,8),VLOOKUP($D40,'2-4'!$D$4:$L$103,8)))))</f>
        <v>0</v>
      </c>
      <c r="L40" s="418">
        <f>IF($D40="","",IF($D40&lt;=100,VLOOKUP($D40,'1-2'!$D$4:$L$103,9),IF($D40&lt;=200,VLOOKUP($D40,'随時①-2'!$D$4:$L$23,9),IF($D40&lt;=300,VLOOKUP($D40,'随時②-2'!$D$21:$L$35,9),VLOOKUP($D40,'2-4'!$D$4:$L$103,9)))))</f>
        <v>0</v>
      </c>
    </row>
    <row r="41" spans="1:12" ht="14.25">
      <c r="A41" s="91"/>
      <c r="B41" s="67"/>
      <c r="C41" s="67"/>
      <c r="D41" s="412">
        <v>340</v>
      </c>
      <c r="E41" s="316" t="str">
        <f>IF($D41="","",IF($D41&lt;=100,VLOOKUP($D41,'1-2'!$D$4:$L$103,2),IF($D41&lt;=200,VLOOKUP($D41,'随時①-2'!$D$4:$L$23,2),IF($D41&lt;=300,VLOOKUP($D41,'随時②-2'!$D$21:$L$35,2),VLOOKUP($D41,'2-4'!$D$4:$L$103,2)))))</f>
        <v>消耗需用費</v>
      </c>
      <c r="F41" s="316" t="str">
        <f>IF($D41="","",IF($D41&lt;=100,VLOOKUP($D41,'1-2'!$D$4:$L$103,3),IF($D41&lt;=200,VLOOKUP($D41,'随時①-2'!$D$4:$L$23,3),IF($D41&lt;=300,VLOOKUP($D41,'随時②-2'!$D$21:$L$35,3),VLOOKUP($D41,'2-4'!$D$4:$L$103,3)))))</f>
        <v>キャッチハンドル 替糸</v>
      </c>
      <c r="G41" s="225">
        <f>IF($D41="","",IF($D41&lt;=100,VLOOKUP($D41,'1-2'!$D$4:$L$103,4),IF($D41&lt;=200,VLOOKUP($D41,'随時①-2'!$D$4:$L$23,4),IF($D41&lt;=300,VLOOKUP($D41,'随時②-2'!$D$21:$L$35,4),VLOOKUP($D41,'2-4'!$D$4:$L$103,4)))))</f>
        <v>950</v>
      </c>
      <c r="H41" s="317">
        <f>IF($D41="","",IF($D41&lt;=100,VLOOKUP($D41,'1-2'!$D$4:$L$103,5),IF($D41&lt;=200,VLOOKUP($D41,'随時①-2'!$D$4:$L$23,5),IF($D41&lt;=300,VLOOKUP($D41,'随時②-2'!$D$21:$L$35,5),VLOOKUP($D41,'2-4'!$D$4:$L$103,5)))))</f>
        <v>10</v>
      </c>
      <c r="I41" s="317">
        <f>IF($D41="","",IF($D41&lt;=100,VLOOKUP($D41,'1-2'!$D$4:$L$103,6),IF($D41&lt;=200,VLOOKUP($D41,'随時①-2'!$D$4:$L$23,6),IF($D41&lt;=300,VLOOKUP($D41,'随時②-2'!$D$21:$L$35,6),VLOOKUP($D41,'2-4'!$D$4:$L$103,6)))))</f>
        <v>1</v>
      </c>
      <c r="J41" s="225">
        <f>IF($D41="","",IF($D41&lt;=100,VLOOKUP($D41,'1-2'!$D$4:$L$103,7),IF($D41&lt;=200,VLOOKUP($D41,'随時①-2'!$D$4:$L$23,7),IF($D41&lt;=300,VLOOKUP($D41,'随時②-2'!$D$21:$L$35,7),VLOOKUP($D41,'2-4'!$D$4:$L$103,7)))))</f>
        <v>9500</v>
      </c>
      <c r="K41" s="316">
        <f>IF($D41="","",IF($D41&lt;=100,VLOOKUP($D41,'1-2'!$D$4:$L$103,8),IF($D41&lt;=200,VLOOKUP($D41,'随時①-2'!$D$4:$L$23,8),IF($D41&lt;=300,VLOOKUP($D41,'随時②-2'!$D$21:$L$35,8),VLOOKUP($D41,'2-4'!$D$4:$L$103,8)))))</f>
        <v>0</v>
      </c>
      <c r="L41" s="418">
        <f>IF($D41="","",IF($D41&lt;=100,VLOOKUP($D41,'1-2'!$D$4:$L$103,9),IF($D41&lt;=200,VLOOKUP($D41,'随時①-2'!$D$4:$L$23,9),IF($D41&lt;=300,VLOOKUP($D41,'随時②-2'!$D$21:$L$35,9),VLOOKUP($D41,'2-4'!$D$4:$L$103,9)))))</f>
        <v>0</v>
      </c>
    </row>
    <row r="42" spans="1:12" ht="14.25">
      <c r="A42" s="91"/>
      <c r="B42" s="67"/>
      <c r="C42" s="67"/>
      <c r="D42" s="412">
        <v>341</v>
      </c>
      <c r="E42" s="316" t="str">
        <f>IF($D42="","",IF($D42&lt;=100,VLOOKUP($D42,'1-2'!$D$4:$L$103,2),IF($D42&lt;=200,VLOOKUP($D42,'随時①-2'!$D$4:$L$23,2),IF($D42&lt;=300,VLOOKUP($D42,'随時②-2'!$D$21:$L$35,2),VLOOKUP($D42,'2-4'!$D$4:$L$103,2)))))</f>
        <v>消耗需用費</v>
      </c>
      <c r="F42" s="316" t="str">
        <f>IF($D42="","",IF($D42&lt;=100,VLOOKUP($D42,'1-2'!$D$4:$L$103,3),IF($D42&lt;=200,VLOOKUP($D42,'随時①-2'!$D$4:$L$23,3),IF($D42&lt;=300,VLOOKUP($D42,'随時②-2'!$D$21:$L$35,3),VLOOKUP($D42,'2-4'!$D$4:$L$103,3)))))</f>
        <v>ダスタークロス　レギュラーシート　Ｍ</v>
      </c>
      <c r="G42" s="225">
        <f>IF($D42="","",IF($D42&lt;=100,VLOOKUP($D42,'1-2'!$D$4:$L$103,4),IF($D42&lt;=200,VLOOKUP($D42,'随時①-2'!$D$4:$L$23,4),IF($D42&lt;=300,VLOOKUP($D42,'随時②-2'!$D$21:$L$35,4),VLOOKUP($D42,'2-4'!$D$4:$L$103,4)))))</f>
        <v>2851</v>
      </c>
      <c r="H42" s="317">
        <f>IF($D42="","",IF($D42&lt;=100,VLOOKUP($D42,'1-2'!$D$4:$L$103,5),IF($D42&lt;=200,VLOOKUP($D42,'随時①-2'!$D$4:$L$23,5),IF($D42&lt;=300,VLOOKUP($D42,'随時②-2'!$D$21:$L$35,5),VLOOKUP($D42,'2-4'!$D$4:$L$103,5)))))</f>
        <v>3</v>
      </c>
      <c r="I42" s="317">
        <f>IF($D42="","",IF($D42&lt;=100,VLOOKUP($D42,'1-2'!$D$4:$L$103,6),IF($D42&lt;=200,VLOOKUP($D42,'随時①-2'!$D$4:$L$23,6),IF($D42&lt;=300,VLOOKUP($D42,'随時②-2'!$D$21:$L$35,6),VLOOKUP($D42,'2-4'!$D$4:$L$103,6)))))</f>
        <v>1</v>
      </c>
      <c r="J42" s="225">
        <f>IF($D42="","",IF($D42&lt;=100,VLOOKUP($D42,'1-2'!$D$4:$L$103,7),IF($D42&lt;=200,VLOOKUP($D42,'随時①-2'!$D$4:$L$23,7),IF($D42&lt;=300,VLOOKUP($D42,'随時②-2'!$D$21:$L$35,7),VLOOKUP($D42,'2-4'!$D$4:$L$103,7)))))</f>
        <v>8553</v>
      </c>
      <c r="K42" s="316">
        <f>IF($D42="","",IF($D42&lt;=100,VLOOKUP($D42,'1-2'!$D$4:$L$103,8),IF($D42&lt;=200,VLOOKUP($D42,'随時①-2'!$D$4:$L$23,8),IF($D42&lt;=300,VLOOKUP($D42,'随時②-2'!$D$21:$L$35,8),VLOOKUP($D42,'2-4'!$D$4:$L$103,8)))))</f>
        <v>0</v>
      </c>
      <c r="L42" s="418">
        <f>IF($D42="","",IF($D42&lt;=100,VLOOKUP($D42,'1-2'!$D$4:$L$103,9),IF($D42&lt;=200,VLOOKUP($D42,'随時①-2'!$D$4:$L$23,9),IF($D42&lt;=300,VLOOKUP($D42,'随時②-2'!$D$21:$L$35,9),VLOOKUP($D42,'2-4'!$D$4:$L$103,9)))))</f>
        <v>0</v>
      </c>
    </row>
    <row r="43" spans="1:12" ht="14.25">
      <c r="A43" s="91"/>
      <c r="B43" s="67"/>
      <c r="C43" s="67"/>
      <c r="D43" s="412">
        <v>342</v>
      </c>
      <c r="E43" s="316" t="str">
        <f>IF($D43="","",IF($D43&lt;=100,VLOOKUP($D43,'1-2'!$D$4:$L$103,2),IF($D43&lt;=200,VLOOKUP($D43,'随時①-2'!$D$4:$L$23,2),IF($D43&lt;=300,VLOOKUP($D43,'随時②-2'!$D$21:$L$35,2),VLOOKUP($D43,'2-4'!$D$4:$L$103,2)))))</f>
        <v>消耗需用費</v>
      </c>
      <c r="F43" s="316" t="str">
        <f>IF($D43="","",IF($D43&lt;=100,VLOOKUP($D43,'1-2'!$D$4:$L$103,3),IF($D43&lt;=200,VLOOKUP($D43,'随時①-2'!$D$4:$L$23,3),IF($D43&lt;=300,VLOOKUP($D43,'随時②-2'!$D$21:$L$35,3),VLOOKUP($D43,'2-4'!$D$4:$L$103,3)))))</f>
        <v>カンカン安全ポリッシャーCP-12M型（標準回転）</v>
      </c>
      <c r="G43" s="225">
        <f>IF($D43="","",IF($D43&lt;=100,VLOOKUP($D43,'1-2'!$D$4:$L$103,4),IF($D43&lt;=200,VLOOKUP($D43,'随時①-2'!$D$4:$L$23,4),IF($D43&lt;=300,VLOOKUP($D43,'随時②-2'!$D$21:$L$35,4),VLOOKUP($D43,'2-4'!$D$4:$L$103,4)))))</f>
        <v>75312</v>
      </c>
      <c r="H43" s="317">
        <f>IF($D43="","",IF($D43&lt;=100,VLOOKUP($D43,'1-2'!$D$4:$L$103,5),IF($D43&lt;=200,VLOOKUP($D43,'随時①-2'!$D$4:$L$23,5),IF($D43&lt;=300,VLOOKUP($D43,'随時②-2'!$D$21:$L$35,5),VLOOKUP($D43,'2-4'!$D$4:$L$103,5)))))</f>
        <v>1</v>
      </c>
      <c r="I43" s="317">
        <f>IF($D43="","",IF($D43&lt;=100,VLOOKUP($D43,'1-2'!$D$4:$L$103,6),IF($D43&lt;=200,VLOOKUP($D43,'随時①-2'!$D$4:$L$23,6),IF($D43&lt;=300,VLOOKUP($D43,'随時②-2'!$D$21:$L$35,6),VLOOKUP($D43,'2-4'!$D$4:$L$103,6)))))</f>
        <v>1</v>
      </c>
      <c r="J43" s="225">
        <f>IF($D43="","",IF($D43&lt;=100,VLOOKUP($D43,'1-2'!$D$4:$L$103,7),IF($D43&lt;=200,VLOOKUP($D43,'随時①-2'!$D$4:$L$23,7),IF($D43&lt;=300,VLOOKUP($D43,'随時②-2'!$D$21:$L$35,7),VLOOKUP($D43,'2-4'!$D$4:$L$103,7)))))</f>
        <v>75312</v>
      </c>
      <c r="K43" s="316">
        <f>IF($D43="","",IF($D43&lt;=100,VLOOKUP($D43,'1-2'!$D$4:$L$103,8),IF($D43&lt;=200,VLOOKUP($D43,'随時①-2'!$D$4:$L$23,8),IF($D43&lt;=300,VLOOKUP($D43,'随時②-2'!$D$21:$L$35,8),VLOOKUP($D43,'2-4'!$D$4:$L$103,8)))))</f>
        <v>0</v>
      </c>
      <c r="L43" s="418">
        <f>IF($D43="","",IF($D43&lt;=100,VLOOKUP($D43,'1-2'!$D$4:$L$103,9),IF($D43&lt;=200,VLOOKUP($D43,'随時①-2'!$D$4:$L$23,9),IF($D43&lt;=300,VLOOKUP($D43,'随時②-2'!$D$21:$L$35,9),VLOOKUP($D43,'2-4'!$D$4:$L$103,9)))))</f>
        <v>0</v>
      </c>
    </row>
    <row r="44" spans="1:12" ht="14.25">
      <c r="A44" s="91"/>
      <c r="B44" s="67"/>
      <c r="C44" s="67"/>
      <c r="D44" s="412">
        <v>343</v>
      </c>
      <c r="E44" s="316" t="str">
        <f>IF($D44="","",IF($D44&lt;=100,VLOOKUP($D44,'1-2'!$D$4:$L$103,2),IF($D44&lt;=200,VLOOKUP($D44,'随時①-2'!$D$4:$L$23,2),IF($D44&lt;=300,VLOOKUP($D44,'随時②-2'!$D$21:$L$35,2),VLOOKUP($D44,'2-4'!$D$4:$L$103,2)))))</f>
        <v>消耗需用費</v>
      </c>
      <c r="F44" s="316" t="str">
        <f>IF($D44="","",IF($D44&lt;=100,VLOOKUP($D44,'1-2'!$D$4:$L$103,3),IF($D44&lt;=200,VLOOKUP($D44,'随時①-2'!$D$4:$L$23,3),IF($D44&lt;=300,VLOOKUP($D44,'随時②-2'!$D$21:$L$35,3),VLOOKUP($D44,'2-4'!$D$4:$L$103,3)))))</f>
        <v>ポリ製パッド台　１３型　薄型</v>
      </c>
      <c r="G44" s="225">
        <f>IF($D44="","",IF($D44&lt;=100,VLOOKUP($D44,'1-2'!$D$4:$L$103,4),IF($D44&lt;=200,VLOOKUP($D44,'随時①-2'!$D$4:$L$23,4),IF($D44&lt;=300,VLOOKUP($D44,'随時②-2'!$D$21:$L$35,4),VLOOKUP($D44,'2-4'!$D$4:$L$103,4)))))</f>
        <v>6912</v>
      </c>
      <c r="H44" s="317">
        <f>IF($D44="","",IF($D44&lt;=100,VLOOKUP($D44,'1-2'!$D$4:$L$103,5),IF($D44&lt;=200,VLOOKUP($D44,'随時①-2'!$D$4:$L$23,5),IF($D44&lt;=300,VLOOKUP($D44,'随時②-2'!$D$21:$L$35,5),VLOOKUP($D44,'2-4'!$D$4:$L$103,5)))))</f>
        <v>1</v>
      </c>
      <c r="I44" s="317">
        <f>IF($D44="","",IF($D44&lt;=100,VLOOKUP($D44,'1-2'!$D$4:$L$103,6),IF($D44&lt;=200,VLOOKUP($D44,'随時①-2'!$D$4:$L$23,6),IF($D44&lt;=300,VLOOKUP($D44,'随時②-2'!$D$21:$L$35,6),VLOOKUP($D44,'2-4'!$D$4:$L$103,6)))))</f>
        <v>1</v>
      </c>
      <c r="J44" s="225">
        <f>IF($D44="","",IF($D44&lt;=100,VLOOKUP($D44,'1-2'!$D$4:$L$103,7),IF($D44&lt;=200,VLOOKUP($D44,'随時①-2'!$D$4:$L$23,7),IF($D44&lt;=300,VLOOKUP($D44,'随時②-2'!$D$21:$L$35,7),VLOOKUP($D44,'2-4'!$D$4:$L$103,7)))))</f>
        <v>6912</v>
      </c>
      <c r="K44" s="316">
        <f>IF($D44="","",IF($D44&lt;=100,VLOOKUP($D44,'1-2'!$D$4:$L$103,8),IF($D44&lt;=200,VLOOKUP($D44,'随時①-2'!$D$4:$L$23,8),IF($D44&lt;=300,VLOOKUP($D44,'随時②-2'!$D$21:$L$35,8),VLOOKUP($D44,'2-4'!$D$4:$L$103,8)))))</f>
        <v>0</v>
      </c>
      <c r="L44" s="418">
        <f>IF($D44="","",IF($D44&lt;=100,VLOOKUP($D44,'1-2'!$D$4:$L$103,9),IF($D44&lt;=200,VLOOKUP($D44,'随時①-2'!$D$4:$L$23,9),IF($D44&lt;=300,VLOOKUP($D44,'随時②-2'!$D$21:$L$35,9),VLOOKUP($D44,'2-4'!$D$4:$L$103,9)))))</f>
        <v>0</v>
      </c>
    </row>
    <row r="45" spans="1:12" ht="14.25">
      <c r="A45" s="91"/>
      <c r="B45" s="67"/>
      <c r="C45" s="67"/>
      <c r="D45" s="412">
        <v>344</v>
      </c>
      <c r="E45" s="316" t="str">
        <f>IF($D45="","",IF($D45&lt;=100,VLOOKUP($D45,'1-2'!$D$4:$L$103,2),IF($D45&lt;=200,VLOOKUP($D45,'随時①-2'!$D$4:$L$23,2),IF($D45&lt;=300,VLOOKUP($D45,'随時②-2'!$D$21:$L$35,2),VLOOKUP($D45,'2-4'!$D$4:$L$103,2)))))</f>
        <v>消耗需用費</v>
      </c>
      <c r="F45" s="316" t="str">
        <f>IF($D45="","",IF($D45&lt;=100,VLOOKUP($D45,'1-2'!$D$4:$L$103,3),IF($D45&lt;=200,VLOOKUP($D45,'随時①-2'!$D$4:$L$23,3),IF($D45&lt;=300,VLOOKUP($D45,'随時②-2'!$D$21:$L$35,3),VLOOKUP($D45,'2-4'!$D$4:$L$103,3)))))</f>
        <v>丸林製ポリッシャー用プレート４ツ爪　１２型用</v>
      </c>
      <c r="G45" s="225">
        <f>IF($D45="","",IF($D45&lt;=100,VLOOKUP($D45,'1-2'!$D$4:$L$103,4),IF($D45&lt;=200,VLOOKUP($D45,'随時①-2'!$D$4:$L$23,4),IF($D45&lt;=300,VLOOKUP($D45,'随時②-2'!$D$21:$L$35,4),VLOOKUP($D45,'2-4'!$D$4:$L$103,4)))))</f>
        <v>717</v>
      </c>
      <c r="H45" s="317">
        <f>IF($D45="","",IF($D45&lt;=100,VLOOKUP($D45,'1-2'!$D$4:$L$103,5),IF($D45&lt;=200,VLOOKUP($D45,'随時①-2'!$D$4:$L$23,5),IF($D45&lt;=300,VLOOKUP($D45,'随時②-2'!$D$21:$L$35,5),VLOOKUP($D45,'2-4'!$D$4:$L$103,5)))))</f>
        <v>1</v>
      </c>
      <c r="I45" s="317">
        <f>IF($D45="","",IF($D45&lt;=100,VLOOKUP($D45,'1-2'!$D$4:$L$103,6),IF($D45&lt;=200,VLOOKUP($D45,'随時①-2'!$D$4:$L$23,6),IF($D45&lt;=300,VLOOKUP($D45,'随時②-2'!$D$21:$L$35,6),VLOOKUP($D45,'2-4'!$D$4:$L$103,6)))))</f>
        <v>1</v>
      </c>
      <c r="J45" s="225">
        <f>IF($D45="","",IF($D45&lt;=100,VLOOKUP($D45,'1-2'!$D$4:$L$103,7),IF($D45&lt;=200,VLOOKUP($D45,'随時①-2'!$D$4:$L$23,7),IF($D45&lt;=300,VLOOKUP($D45,'随時②-2'!$D$21:$L$35,7),VLOOKUP($D45,'2-4'!$D$4:$L$103,7)))))</f>
        <v>717</v>
      </c>
      <c r="K45" s="316">
        <f>IF($D45="","",IF($D45&lt;=100,VLOOKUP($D45,'1-2'!$D$4:$L$103,8),IF($D45&lt;=200,VLOOKUP($D45,'随時①-2'!$D$4:$L$23,8),IF($D45&lt;=300,VLOOKUP($D45,'随時②-2'!$D$21:$L$35,8),VLOOKUP($D45,'2-4'!$D$4:$L$103,8)))))</f>
        <v>0</v>
      </c>
      <c r="L45" s="418">
        <f>IF($D45="","",IF($D45&lt;=100,VLOOKUP($D45,'1-2'!$D$4:$L$103,9),IF($D45&lt;=200,VLOOKUP($D45,'随時①-2'!$D$4:$L$23,9),IF($D45&lt;=300,VLOOKUP($D45,'随時②-2'!$D$21:$L$35,9),VLOOKUP($D45,'2-4'!$D$4:$L$103,9)))))</f>
        <v>0</v>
      </c>
    </row>
    <row r="46" spans="1:12" ht="14.25">
      <c r="A46" s="91"/>
      <c r="B46" s="67"/>
      <c r="C46" s="67"/>
      <c r="D46" s="412">
        <v>345</v>
      </c>
      <c r="E46" s="316" t="str">
        <f>IF($D46="","",IF($D46&lt;=100,VLOOKUP($D46,'1-2'!$D$4:$L$103,2),IF($D46&lt;=200,VLOOKUP($D46,'随時①-2'!$D$4:$L$23,2),IF($D46&lt;=300,VLOOKUP($D46,'随時②-2'!$D$21:$L$35,2),VLOOKUP($D46,'2-4'!$D$4:$L$103,2)))))</f>
        <v>消耗需用費</v>
      </c>
      <c r="F46" s="316" t="str">
        <f>IF($D46="","",IF($D46&lt;=100,VLOOKUP($D46,'1-2'!$D$4:$L$103,3),IF($D46&lt;=200,VLOOKUP($D46,'随時①-2'!$D$4:$L$23,3),IF($D46&lt;=300,VLOOKUP($D46,'随時②-2'!$D$21:$L$35,3),VLOOKUP($D46,'2-4'!$D$4:$L$103,3)))))</f>
        <v>スコッチ・ブライト(TM) ブルークリーナーパッド 青 330mm </v>
      </c>
      <c r="G46" s="225">
        <f>IF($D46="","",IF($D46&lt;=100,VLOOKUP($D46,'1-2'!$D$4:$L$103,4),IF($D46&lt;=200,VLOOKUP($D46,'随時①-2'!$D$4:$L$23,4),IF($D46&lt;=300,VLOOKUP($D46,'随時②-2'!$D$21:$L$35,4),VLOOKUP($D46,'2-4'!$D$4:$L$103,4)))))</f>
        <v>18008</v>
      </c>
      <c r="H46" s="317">
        <f>IF($D46="","",IF($D46&lt;=100,VLOOKUP($D46,'1-2'!$D$4:$L$103,5),IF($D46&lt;=200,VLOOKUP($D46,'随時①-2'!$D$4:$L$23,5),IF($D46&lt;=300,VLOOKUP($D46,'随時②-2'!$D$21:$L$35,5),VLOOKUP($D46,'2-4'!$D$4:$L$103,5)))))</f>
        <v>1</v>
      </c>
      <c r="I46" s="317">
        <f>IF($D46="","",IF($D46&lt;=100,VLOOKUP($D46,'1-2'!$D$4:$L$103,6),IF($D46&lt;=200,VLOOKUP($D46,'随時①-2'!$D$4:$L$23,6),IF($D46&lt;=300,VLOOKUP($D46,'随時②-2'!$D$21:$L$35,6),VLOOKUP($D46,'2-4'!$D$4:$L$103,6)))))</f>
        <v>1</v>
      </c>
      <c r="J46" s="225">
        <f>IF($D46="","",IF($D46&lt;=100,VLOOKUP($D46,'1-2'!$D$4:$L$103,7),IF($D46&lt;=200,VLOOKUP($D46,'随時①-2'!$D$4:$L$23,7),IF($D46&lt;=300,VLOOKUP($D46,'随時②-2'!$D$21:$L$35,7),VLOOKUP($D46,'2-4'!$D$4:$L$103,7)))))</f>
        <v>18008</v>
      </c>
      <c r="K46" s="316">
        <f>IF($D46="","",IF($D46&lt;=100,VLOOKUP($D46,'1-2'!$D$4:$L$103,8),IF($D46&lt;=200,VLOOKUP($D46,'随時①-2'!$D$4:$L$23,8),IF($D46&lt;=300,VLOOKUP($D46,'随時②-2'!$D$21:$L$35,8),VLOOKUP($D46,'2-4'!$D$4:$L$103,8)))))</f>
        <v>0</v>
      </c>
      <c r="L46" s="418">
        <f>IF($D46="","",IF($D46&lt;=100,VLOOKUP($D46,'1-2'!$D$4:$L$103,9),IF($D46&lt;=200,VLOOKUP($D46,'随時①-2'!$D$4:$L$23,9),IF($D46&lt;=300,VLOOKUP($D46,'随時②-2'!$D$21:$L$35,9),VLOOKUP($D46,'2-4'!$D$4:$L$103,9)))))</f>
        <v>0</v>
      </c>
    </row>
    <row r="47" spans="1:13" ht="15" thickBot="1">
      <c r="A47" s="91"/>
      <c r="B47" s="67"/>
      <c r="C47" s="67"/>
      <c r="D47" s="413">
        <v>346</v>
      </c>
      <c r="E47" s="419" t="str">
        <f>IF($D47="","",IF($D47&lt;=100,VLOOKUP($D47,'1-2'!$D$4:$L$103,2),IF($D47&lt;=200,VLOOKUP($D47,'随時①-2'!$D$4:$L$23,2),IF($D47&lt;=300,VLOOKUP($D47,'随時②-2'!$D$21:$L$35,2),VLOOKUP($D47,'2-4'!$D$4:$L$103,2)))))</f>
        <v>消耗需用費</v>
      </c>
      <c r="F47" s="419" t="str">
        <f>IF($D47="","",IF($D47&lt;=100,VLOOKUP($D47,'1-2'!$D$4:$L$103,3),IF($D47&lt;=200,VLOOKUP($D47,'随時①-2'!$D$4:$L$23,3),IF($D47&lt;=300,VLOOKUP($D47,'随時②-2'!$D$21:$L$35,3),VLOOKUP($D47,'2-4'!$D$4:$L$103,3)))))</f>
        <v>スコッチ・ブライト(TM) ホワイトスーパーポリッシュパッド 白 330mm </v>
      </c>
      <c r="G47" s="414">
        <f>IF($D47="","",IF($D47&lt;=100,VLOOKUP($D47,'1-2'!$D$4:$L$103,4),IF($D47&lt;=200,VLOOKUP($D47,'随時①-2'!$D$4:$L$23,4),IF($D47&lt;=300,VLOOKUP($D47,'随時②-2'!$D$21:$L$35,4),VLOOKUP($D47,'2-4'!$D$4:$L$103,4)))))</f>
        <v>14168</v>
      </c>
      <c r="H47" s="415">
        <f>IF($D47="","",IF($D47&lt;=100,VLOOKUP($D47,'1-2'!$D$4:$L$103,5),IF($D47&lt;=200,VLOOKUP($D47,'随時①-2'!$D$4:$L$23,5),IF($D47&lt;=300,VLOOKUP($D47,'随時②-2'!$D$21:$L$35,5),VLOOKUP($D47,'2-4'!$D$4:$L$103,5)))))</f>
        <v>1</v>
      </c>
      <c r="I47" s="415">
        <f>IF($D47="","",IF($D47&lt;=100,VLOOKUP($D47,'1-2'!$D$4:$L$103,6),IF($D47&lt;=200,VLOOKUP($D47,'随時①-2'!$D$4:$L$23,6),IF($D47&lt;=300,VLOOKUP($D47,'随時②-2'!$D$21:$L$35,6),VLOOKUP($D47,'2-4'!$D$4:$L$103,6)))))</f>
        <v>1</v>
      </c>
      <c r="J47" s="414">
        <f>IF($D47="","",IF($D47&lt;=100,VLOOKUP($D47,'1-2'!$D$4:$L$103,7),IF($D47&lt;=200,VLOOKUP($D47,'随時①-2'!$D$4:$L$23,7),IF($D47&lt;=300,VLOOKUP($D47,'随時②-2'!$D$21:$L$35,7),VLOOKUP($D47,'2-4'!$D$4:$L$103,7)))))</f>
        <v>14168</v>
      </c>
      <c r="K47" s="419">
        <f>IF($D47="","",IF($D47&lt;=100,VLOOKUP($D47,'1-2'!$D$4:$L$103,8),IF($D47&lt;=200,VLOOKUP($D47,'随時①-2'!$D$4:$L$23,8),IF($D47&lt;=300,VLOOKUP($D47,'随時②-2'!$D$21:$L$35,8),VLOOKUP($D47,'2-4'!$D$4:$L$103,8)))))</f>
        <v>0</v>
      </c>
      <c r="L47" s="420">
        <f>IF($D47="","",IF($D47&lt;=100,VLOOKUP($D47,'1-2'!$D$4:$L$103,9),IF($D47&lt;=200,VLOOKUP($D47,'随時①-2'!$D$4:$L$23,9),IF($D47&lt;=300,VLOOKUP($D47,'随時②-2'!$D$21:$L$35,9),VLOOKUP($D47,'2-4'!$D$4:$L$103,9)))))</f>
        <v>0</v>
      </c>
      <c r="M47" s="5">
        <f>IF(K47="◎",J47,"")</f>
      </c>
    </row>
    <row r="48" spans="1:12" ht="24" customHeight="1" thickBot="1">
      <c r="A48" s="92"/>
      <c r="B48" s="92"/>
      <c r="C48" s="92"/>
      <c r="D48" s="95"/>
      <c r="E48" s="28" t="s">
        <v>200</v>
      </c>
      <c r="F48" s="93"/>
      <c r="G48" s="93"/>
      <c r="H48" s="93"/>
      <c r="I48" s="93"/>
      <c r="J48" s="93"/>
      <c r="K48" s="93"/>
      <c r="L48" s="86"/>
    </row>
    <row r="49" spans="1:12" ht="24" customHeight="1">
      <c r="A49" s="425" t="s">
        <v>141</v>
      </c>
      <c r="B49" s="407" t="s">
        <v>142</v>
      </c>
      <c r="C49" s="96" t="s">
        <v>144</v>
      </c>
      <c r="D49" s="94" t="s">
        <v>146</v>
      </c>
      <c r="E49" s="96" t="s">
        <v>0</v>
      </c>
      <c r="F49" s="96" t="s">
        <v>197</v>
      </c>
      <c r="G49" s="96" t="s">
        <v>91</v>
      </c>
      <c r="H49" s="470" t="s">
        <v>246</v>
      </c>
      <c r="I49" s="96" t="s">
        <v>92</v>
      </c>
      <c r="J49" s="96" t="s">
        <v>93</v>
      </c>
      <c r="K49" s="228" t="s">
        <v>111</v>
      </c>
      <c r="L49" s="408" t="s">
        <v>107</v>
      </c>
    </row>
    <row r="50" spans="1:13" s="465" customFormat="1" ht="13.5" customHeight="1">
      <c r="A50" s="361"/>
      <c r="B50" s="253" t="s">
        <v>284</v>
      </c>
      <c r="C50" s="254" t="s">
        <v>286</v>
      </c>
      <c r="D50" s="466">
        <v>401</v>
      </c>
      <c r="E50" s="276" t="s">
        <v>125</v>
      </c>
      <c r="F50" s="256" t="s">
        <v>312</v>
      </c>
      <c r="G50" s="320">
        <v>5556</v>
      </c>
      <c r="H50" s="321">
        <v>9</v>
      </c>
      <c r="I50" s="321">
        <v>1</v>
      </c>
      <c r="J50" s="381">
        <f aca="true" t="shared" si="1" ref="J50:J57">G50*H50*I50</f>
        <v>50004</v>
      </c>
      <c r="K50" s="261"/>
      <c r="L50" s="262" t="s">
        <v>362</v>
      </c>
      <c r="M50" s="465">
        <f aca="true" t="shared" si="2" ref="M50:M63">IF(K47="◎",J47,"")</f>
      </c>
    </row>
    <row r="51" spans="1:13" s="465" customFormat="1" ht="13.5" customHeight="1">
      <c r="A51" s="252"/>
      <c r="B51" s="253" t="s">
        <v>284</v>
      </c>
      <c r="C51" s="254" t="s">
        <v>286</v>
      </c>
      <c r="D51" s="466">
        <v>402</v>
      </c>
      <c r="E51" s="276" t="s">
        <v>125</v>
      </c>
      <c r="F51" s="256" t="s">
        <v>313</v>
      </c>
      <c r="G51" s="320">
        <v>3186</v>
      </c>
      <c r="H51" s="321">
        <v>18</v>
      </c>
      <c r="I51" s="321">
        <v>1</v>
      </c>
      <c r="J51" s="381">
        <f t="shared" si="1"/>
        <v>57348</v>
      </c>
      <c r="K51" s="261"/>
      <c r="L51" s="262" t="s">
        <v>363</v>
      </c>
      <c r="M51" s="465">
        <f t="shared" si="2"/>
      </c>
    </row>
    <row r="52" spans="1:13" s="465" customFormat="1" ht="13.5" customHeight="1">
      <c r="A52" s="252"/>
      <c r="B52" s="253" t="s">
        <v>284</v>
      </c>
      <c r="C52" s="254" t="s">
        <v>286</v>
      </c>
      <c r="D52" s="466">
        <v>403</v>
      </c>
      <c r="E52" s="276" t="s">
        <v>125</v>
      </c>
      <c r="F52" s="479" t="s">
        <v>314</v>
      </c>
      <c r="G52" s="320">
        <v>3672</v>
      </c>
      <c r="H52" s="321">
        <v>7</v>
      </c>
      <c r="I52" s="321">
        <v>1</v>
      </c>
      <c r="J52" s="381">
        <f t="shared" si="1"/>
        <v>25704</v>
      </c>
      <c r="K52" s="261"/>
      <c r="L52" s="262" t="s">
        <v>364</v>
      </c>
      <c r="M52" s="465">
        <f t="shared" si="2"/>
      </c>
    </row>
    <row r="53" spans="1:13" s="465" customFormat="1" ht="13.5" customHeight="1">
      <c r="A53" s="252"/>
      <c r="B53" s="253" t="s">
        <v>284</v>
      </c>
      <c r="C53" s="254" t="s">
        <v>286</v>
      </c>
      <c r="D53" s="466">
        <v>404</v>
      </c>
      <c r="E53" s="276" t="s">
        <v>125</v>
      </c>
      <c r="F53" s="479" t="s">
        <v>315</v>
      </c>
      <c r="G53" s="320">
        <v>1404</v>
      </c>
      <c r="H53" s="321">
        <v>1</v>
      </c>
      <c r="I53" s="321">
        <v>1</v>
      </c>
      <c r="J53" s="381">
        <f t="shared" si="1"/>
        <v>1404</v>
      </c>
      <c r="K53" s="261"/>
      <c r="L53" s="262" t="s">
        <v>365</v>
      </c>
      <c r="M53" s="465">
        <f t="shared" si="2"/>
      </c>
    </row>
    <row r="54" spans="1:13" s="465" customFormat="1" ht="13.5" customHeight="1">
      <c r="A54" s="252"/>
      <c r="B54" s="253" t="s">
        <v>284</v>
      </c>
      <c r="C54" s="254" t="s">
        <v>286</v>
      </c>
      <c r="D54" s="466">
        <v>405</v>
      </c>
      <c r="E54" s="276" t="s">
        <v>125</v>
      </c>
      <c r="F54" s="479" t="s">
        <v>396</v>
      </c>
      <c r="G54" s="320">
        <v>22000</v>
      </c>
      <c r="H54" s="321">
        <v>4</v>
      </c>
      <c r="I54" s="321">
        <v>1</v>
      </c>
      <c r="J54" s="381">
        <f t="shared" si="1"/>
        <v>88000</v>
      </c>
      <c r="K54" s="261"/>
      <c r="L54" s="262" t="s">
        <v>366</v>
      </c>
      <c r="M54" s="465">
        <f t="shared" si="2"/>
      </c>
    </row>
    <row r="55" spans="1:13" s="465" customFormat="1" ht="13.5" customHeight="1">
      <c r="A55" s="252"/>
      <c r="B55" s="253" t="s">
        <v>284</v>
      </c>
      <c r="C55" s="254" t="s">
        <v>286</v>
      </c>
      <c r="D55" s="466">
        <v>406</v>
      </c>
      <c r="E55" s="276" t="s">
        <v>125</v>
      </c>
      <c r="F55" s="479" t="s">
        <v>317</v>
      </c>
      <c r="G55" s="320">
        <v>28080</v>
      </c>
      <c r="H55" s="321">
        <v>1</v>
      </c>
      <c r="I55" s="321">
        <v>1</v>
      </c>
      <c r="J55" s="381">
        <f t="shared" si="1"/>
        <v>28080</v>
      </c>
      <c r="K55" s="261"/>
      <c r="L55" s="262" t="s">
        <v>367</v>
      </c>
      <c r="M55" s="465">
        <f t="shared" si="2"/>
      </c>
    </row>
    <row r="56" spans="1:13" s="465" customFormat="1" ht="13.5" customHeight="1">
      <c r="A56" s="252"/>
      <c r="B56" s="253" t="s">
        <v>284</v>
      </c>
      <c r="C56" s="254" t="s">
        <v>286</v>
      </c>
      <c r="D56" s="466">
        <v>407</v>
      </c>
      <c r="E56" s="276" t="s">
        <v>125</v>
      </c>
      <c r="F56" s="479" t="s">
        <v>318</v>
      </c>
      <c r="G56" s="320">
        <v>5616</v>
      </c>
      <c r="H56" s="321">
        <v>5</v>
      </c>
      <c r="I56" s="321">
        <v>1</v>
      </c>
      <c r="J56" s="381">
        <f t="shared" si="1"/>
        <v>28080</v>
      </c>
      <c r="K56" s="261"/>
      <c r="L56" s="262" t="s">
        <v>368</v>
      </c>
      <c r="M56" s="465">
        <f t="shared" si="2"/>
      </c>
    </row>
    <row r="57" spans="1:13" s="465" customFormat="1" ht="13.5" customHeight="1">
      <c r="A57" s="252"/>
      <c r="B57" s="253" t="s">
        <v>284</v>
      </c>
      <c r="C57" s="254" t="s">
        <v>286</v>
      </c>
      <c r="D57" s="466">
        <v>408</v>
      </c>
      <c r="E57" s="276" t="s">
        <v>125</v>
      </c>
      <c r="F57" s="480" t="s">
        <v>319</v>
      </c>
      <c r="G57" s="320">
        <v>5000</v>
      </c>
      <c r="H57" s="321">
        <v>1</v>
      </c>
      <c r="I57" s="321">
        <v>1</v>
      </c>
      <c r="J57" s="381">
        <f t="shared" si="1"/>
        <v>5000</v>
      </c>
      <c r="K57" s="261"/>
      <c r="L57" s="262" t="s">
        <v>369</v>
      </c>
      <c r="M57" s="465">
        <f t="shared" si="2"/>
      </c>
    </row>
    <row r="58" spans="1:13" s="465" customFormat="1" ht="13.5" customHeight="1">
      <c r="A58" s="252"/>
      <c r="B58" s="253" t="s">
        <v>284</v>
      </c>
      <c r="C58" s="254" t="s">
        <v>286</v>
      </c>
      <c r="D58" s="466">
        <v>409</v>
      </c>
      <c r="E58" s="276" t="s">
        <v>125</v>
      </c>
      <c r="F58" s="479" t="s">
        <v>320</v>
      </c>
      <c r="G58" s="320">
        <v>770</v>
      </c>
      <c r="H58" s="321">
        <v>1</v>
      </c>
      <c r="I58" s="321">
        <v>1</v>
      </c>
      <c r="J58" s="381">
        <f>G58*H58*I58</f>
        <v>770</v>
      </c>
      <c r="K58" s="261"/>
      <c r="L58" s="262" t="s">
        <v>370</v>
      </c>
      <c r="M58" s="465">
        <f t="shared" si="2"/>
      </c>
    </row>
    <row r="59" spans="1:13" s="465" customFormat="1" ht="13.5" customHeight="1">
      <c r="A59" s="252"/>
      <c r="B59" s="253" t="s">
        <v>284</v>
      </c>
      <c r="C59" s="254" t="s">
        <v>286</v>
      </c>
      <c r="D59" s="466">
        <v>410</v>
      </c>
      <c r="E59" s="276" t="s">
        <v>125</v>
      </c>
      <c r="F59" s="479" t="s">
        <v>321</v>
      </c>
      <c r="G59" s="320">
        <v>1500</v>
      </c>
      <c r="H59" s="321">
        <v>4</v>
      </c>
      <c r="I59" s="321">
        <v>1</v>
      </c>
      <c r="J59" s="381">
        <f>G59*H59*I59</f>
        <v>6000</v>
      </c>
      <c r="K59" s="261"/>
      <c r="L59" s="262" t="s">
        <v>371</v>
      </c>
      <c r="M59" s="465">
        <f t="shared" si="2"/>
      </c>
    </row>
    <row r="60" spans="1:13" s="465" customFormat="1" ht="13.5" customHeight="1">
      <c r="A60" s="252"/>
      <c r="B60" s="253" t="s">
        <v>284</v>
      </c>
      <c r="C60" s="254" t="s">
        <v>286</v>
      </c>
      <c r="D60" s="466">
        <v>411</v>
      </c>
      <c r="E60" s="276" t="s">
        <v>125</v>
      </c>
      <c r="F60" s="479" t="s">
        <v>322</v>
      </c>
      <c r="G60" s="320">
        <v>3780</v>
      </c>
      <c r="H60" s="321">
        <v>2</v>
      </c>
      <c r="I60" s="321">
        <v>1</v>
      </c>
      <c r="J60" s="381">
        <f>G60*H60*I60</f>
        <v>7560</v>
      </c>
      <c r="K60" s="261"/>
      <c r="L60" s="262" t="s">
        <v>372</v>
      </c>
      <c r="M60" s="465">
        <f t="shared" si="2"/>
      </c>
    </row>
    <row r="61" spans="1:13" s="465" customFormat="1" ht="13.5" customHeight="1">
      <c r="A61" s="252"/>
      <c r="B61" s="253" t="s">
        <v>284</v>
      </c>
      <c r="C61" s="254" t="s">
        <v>286</v>
      </c>
      <c r="D61" s="466">
        <v>412</v>
      </c>
      <c r="E61" s="276" t="s">
        <v>125</v>
      </c>
      <c r="F61" s="480" t="s">
        <v>323</v>
      </c>
      <c r="G61" s="320">
        <v>23760</v>
      </c>
      <c r="H61" s="321">
        <v>1</v>
      </c>
      <c r="I61" s="321">
        <v>1</v>
      </c>
      <c r="J61" s="381">
        <f>G61*H61*I61</f>
        <v>23760</v>
      </c>
      <c r="K61" s="261"/>
      <c r="L61" s="262" t="s">
        <v>373</v>
      </c>
      <c r="M61" s="465">
        <f t="shared" si="2"/>
      </c>
    </row>
    <row r="62" spans="1:13" s="465" customFormat="1" ht="13.5" customHeight="1">
      <c r="A62" s="252"/>
      <c r="B62" s="253" t="s">
        <v>284</v>
      </c>
      <c r="C62" s="254" t="s">
        <v>286</v>
      </c>
      <c r="D62" s="466">
        <v>413</v>
      </c>
      <c r="E62" s="276" t="s">
        <v>125</v>
      </c>
      <c r="F62" s="480" t="s">
        <v>324</v>
      </c>
      <c r="G62" s="320">
        <v>34560</v>
      </c>
      <c r="H62" s="321">
        <v>1</v>
      </c>
      <c r="I62" s="321">
        <v>1</v>
      </c>
      <c r="J62" s="381">
        <f>G62*H62*I62</f>
        <v>34560</v>
      </c>
      <c r="K62" s="261"/>
      <c r="L62" s="262" t="s">
        <v>374</v>
      </c>
      <c r="M62" s="465">
        <f t="shared" si="2"/>
      </c>
    </row>
    <row r="63" spans="1:13" s="465" customFormat="1" ht="13.5" customHeight="1">
      <c r="A63" s="252"/>
      <c r="B63" s="253" t="s">
        <v>284</v>
      </c>
      <c r="C63" s="254" t="s">
        <v>286</v>
      </c>
      <c r="D63" s="466">
        <v>414</v>
      </c>
      <c r="E63" s="276" t="s">
        <v>125</v>
      </c>
      <c r="F63" s="480" t="s">
        <v>325</v>
      </c>
      <c r="G63" s="320">
        <v>9180</v>
      </c>
      <c r="H63" s="321">
        <v>1</v>
      </c>
      <c r="I63" s="321">
        <v>1</v>
      </c>
      <c r="J63" s="381">
        <f aca="true" t="shared" si="3" ref="J63:J73">G63*H63*I63</f>
        <v>9180</v>
      </c>
      <c r="K63" s="261"/>
      <c r="L63" s="262" t="s">
        <v>375</v>
      </c>
      <c r="M63" s="465">
        <f t="shared" si="2"/>
      </c>
    </row>
    <row r="64" spans="1:12" s="465" customFormat="1" ht="13.5" customHeight="1">
      <c r="A64" s="502"/>
      <c r="B64" s="253" t="s">
        <v>284</v>
      </c>
      <c r="C64" s="254" t="s">
        <v>286</v>
      </c>
      <c r="D64" s="466">
        <v>415</v>
      </c>
      <c r="E64" s="276" t="s">
        <v>125</v>
      </c>
      <c r="F64" s="479" t="s">
        <v>326</v>
      </c>
      <c r="G64" s="320">
        <v>972</v>
      </c>
      <c r="H64" s="321">
        <v>1</v>
      </c>
      <c r="I64" s="321">
        <v>1</v>
      </c>
      <c r="J64" s="381">
        <f t="shared" si="3"/>
        <v>972</v>
      </c>
      <c r="K64" s="261"/>
      <c r="L64" s="262" t="s">
        <v>376</v>
      </c>
    </row>
    <row r="65" spans="1:12" s="465" customFormat="1" ht="13.5" customHeight="1">
      <c r="A65" s="502"/>
      <c r="B65" s="253" t="s">
        <v>284</v>
      </c>
      <c r="C65" s="254" t="s">
        <v>286</v>
      </c>
      <c r="D65" s="466">
        <v>416</v>
      </c>
      <c r="E65" s="276" t="s">
        <v>125</v>
      </c>
      <c r="F65" s="479" t="s">
        <v>327</v>
      </c>
      <c r="G65" s="320">
        <v>1100</v>
      </c>
      <c r="H65" s="321">
        <v>5</v>
      </c>
      <c r="I65" s="321">
        <v>1</v>
      </c>
      <c r="J65" s="381">
        <f t="shared" si="3"/>
        <v>5500</v>
      </c>
      <c r="K65" s="261"/>
      <c r="L65" s="262" t="s">
        <v>377</v>
      </c>
    </row>
    <row r="66" spans="1:12" s="465" customFormat="1" ht="13.5" customHeight="1">
      <c r="A66" s="502"/>
      <c r="B66" s="253" t="s">
        <v>284</v>
      </c>
      <c r="C66" s="254" t="s">
        <v>286</v>
      </c>
      <c r="D66" s="466">
        <v>417</v>
      </c>
      <c r="E66" s="276" t="s">
        <v>125</v>
      </c>
      <c r="F66" s="479" t="s">
        <v>327</v>
      </c>
      <c r="G66" s="320">
        <v>3190</v>
      </c>
      <c r="H66" s="321">
        <v>3</v>
      </c>
      <c r="I66" s="321">
        <v>1</v>
      </c>
      <c r="J66" s="381">
        <f t="shared" si="3"/>
        <v>9570</v>
      </c>
      <c r="K66" s="261"/>
      <c r="L66" s="262" t="s">
        <v>378</v>
      </c>
    </row>
    <row r="67" spans="1:12" s="465" customFormat="1" ht="13.5" customHeight="1">
      <c r="A67" s="502"/>
      <c r="B67" s="253" t="s">
        <v>284</v>
      </c>
      <c r="C67" s="254" t="s">
        <v>286</v>
      </c>
      <c r="D67" s="466">
        <v>418</v>
      </c>
      <c r="E67" s="276" t="s">
        <v>125</v>
      </c>
      <c r="F67" s="479" t="s">
        <v>328</v>
      </c>
      <c r="G67" s="320">
        <v>2160</v>
      </c>
      <c r="H67" s="321">
        <v>1</v>
      </c>
      <c r="I67" s="321">
        <v>1</v>
      </c>
      <c r="J67" s="381">
        <f t="shared" si="3"/>
        <v>2160</v>
      </c>
      <c r="K67" s="261"/>
      <c r="L67" s="262" t="s">
        <v>379</v>
      </c>
    </row>
    <row r="68" spans="1:12" s="465" customFormat="1" ht="13.5" customHeight="1">
      <c r="A68" s="502"/>
      <c r="B68" s="253" t="s">
        <v>284</v>
      </c>
      <c r="C68" s="254" t="s">
        <v>286</v>
      </c>
      <c r="D68" s="466">
        <v>419</v>
      </c>
      <c r="E68" s="276" t="s">
        <v>125</v>
      </c>
      <c r="F68" s="481" t="s">
        <v>329</v>
      </c>
      <c r="G68" s="320">
        <v>3240</v>
      </c>
      <c r="H68" s="321">
        <v>3</v>
      </c>
      <c r="I68" s="321">
        <v>1</v>
      </c>
      <c r="J68" s="381">
        <f t="shared" si="3"/>
        <v>9720</v>
      </c>
      <c r="K68" s="261"/>
      <c r="L68" s="262" t="s">
        <v>380</v>
      </c>
    </row>
    <row r="69" spans="1:12" s="465" customFormat="1" ht="13.5" customHeight="1">
      <c r="A69" s="502"/>
      <c r="B69" s="253" t="s">
        <v>284</v>
      </c>
      <c r="C69" s="254" t="s">
        <v>286</v>
      </c>
      <c r="D69" s="466">
        <v>420</v>
      </c>
      <c r="E69" s="276" t="s">
        <v>125</v>
      </c>
      <c r="F69" s="479" t="s">
        <v>330</v>
      </c>
      <c r="G69" s="320">
        <v>43266</v>
      </c>
      <c r="H69" s="321">
        <v>2</v>
      </c>
      <c r="I69" s="321">
        <v>1</v>
      </c>
      <c r="J69" s="381">
        <f t="shared" si="3"/>
        <v>86532</v>
      </c>
      <c r="K69" s="261"/>
      <c r="L69" s="262" t="s">
        <v>381</v>
      </c>
    </row>
    <row r="70" spans="1:12" s="465" customFormat="1" ht="13.5" customHeight="1">
      <c r="A70" s="502"/>
      <c r="B70" s="253" t="s">
        <v>284</v>
      </c>
      <c r="C70" s="254" t="s">
        <v>286</v>
      </c>
      <c r="D70" s="466">
        <v>421</v>
      </c>
      <c r="E70" s="276" t="s">
        <v>125</v>
      </c>
      <c r="F70" s="483" t="s">
        <v>398</v>
      </c>
      <c r="G70" s="320">
        <v>18630</v>
      </c>
      <c r="H70" s="321">
        <v>3</v>
      </c>
      <c r="I70" s="321">
        <v>1</v>
      </c>
      <c r="J70" s="381">
        <f t="shared" si="3"/>
        <v>55890</v>
      </c>
      <c r="K70" s="261"/>
      <c r="L70" s="262" t="s">
        <v>382</v>
      </c>
    </row>
    <row r="71" spans="1:12" s="465" customFormat="1" ht="13.5" customHeight="1">
      <c r="A71" s="502"/>
      <c r="B71" s="253" t="s">
        <v>284</v>
      </c>
      <c r="C71" s="254" t="s">
        <v>286</v>
      </c>
      <c r="D71" s="466">
        <v>422</v>
      </c>
      <c r="E71" s="276" t="s">
        <v>125</v>
      </c>
      <c r="F71" s="504" t="s">
        <v>355</v>
      </c>
      <c r="G71" s="505">
        <v>3446</v>
      </c>
      <c r="H71" s="506">
        <v>2</v>
      </c>
      <c r="I71" s="321">
        <v>1</v>
      </c>
      <c r="J71" s="381">
        <f t="shared" si="3"/>
        <v>6892</v>
      </c>
      <c r="K71" s="261"/>
      <c r="L71" s="262" t="s">
        <v>383</v>
      </c>
    </row>
    <row r="72" spans="1:12" s="465" customFormat="1" ht="13.5" customHeight="1">
      <c r="A72" s="502"/>
      <c r="B72" s="253" t="s">
        <v>284</v>
      </c>
      <c r="C72" s="254" t="s">
        <v>286</v>
      </c>
      <c r="D72" s="466">
        <v>423</v>
      </c>
      <c r="E72" s="276" t="s">
        <v>125</v>
      </c>
      <c r="F72" s="504" t="s">
        <v>356</v>
      </c>
      <c r="G72" s="505">
        <v>35640</v>
      </c>
      <c r="H72" s="506">
        <v>1</v>
      </c>
      <c r="I72" s="321">
        <v>1</v>
      </c>
      <c r="J72" s="381">
        <f t="shared" si="3"/>
        <v>35640</v>
      </c>
      <c r="K72" s="261"/>
      <c r="L72" s="262" t="s">
        <v>384</v>
      </c>
    </row>
    <row r="73" spans="1:12" s="465" customFormat="1" ht="13.5" customHeight="1">
      <c r="A73" s="502"/>
      <c r="B73" s="253" t="s">
        <v>284</v>
      </c>
      <c r="C73" s="254" t="s">
        <v>286</v>
      </c>
      <c r="D73" s="466">
        <v>424</v>
      </c>
      <c r="E73" s="276" t="s">
        <v>125</v>
      </c>
      <c r="F73" s="503" t="s">
        <v>357</v>
      </c>
      <c r="G73" s="320">
        <v>29160</v>
      </c>
      <c r="H73" s="321">
        <v>1</v>
      </c>
      <c r="I73" s="321">
        <v>1</v>
      </c>
      <c r="J73" s="381">
        <f t="shared" si="3"/>
        <v>29160</v>
      </c>
      <c r="K73" s="261"/>
      <c r="L73" s="262" t="s">
        <v>385</v>
      </c>
    </row>
    <row r="74" spans="1:12" s="465" customFormat="1" ht="13.5" customHeight="1">
      <c r="A74" s="502"/>
      <c r="B74" s="253" t="s">
        <v>284</v>
      </c>
      <c r="C74" s="254" t="s">
        <v>286</v>
      </c>
      <c r="D74" s="466">
        <v>425</v>
      </c>
      <c r="E74" s="276" t="s">
        <v>125</v>
      </c>
      <c r="F74" s="276" t="s">
        <v>353</v>
      </c>
      <c r="G74" s="341">
        <v>11000</v>
      </c>
      <c r="H74" s="342">
        <v>5</v>
      </c>
      <c r="I74" s="342">
        <v>1</v>
      </c>
      <c r="J74" s="381">
        <f aca="true" t="shared" si="4" ref="J74:J80">G74*H74*I74</f>
        <v>55000</v>
      </c>
      <c r="K74" s="279"/>
      <c r="L74" s="280" t="s">
        <v>386</v>
      </c>
    </row>
    <row r="75" spans="1:12" s="465" customFormat="1" ht="13.5" customHeight="1">
      <c r="A75" s="502"/>
      <c r="B75" s="253" t="s">
        <v>284</v>
      </c>
      <c r="C75" s="254" t="s">
        <v>286</v>
      </c>
      <c r="D75" s="466">
        <v>426</v>
      </c>
      <c r="E75" s="276" t="s">
        <v>125</v>
      </c>
      <c r="F75" s="257" t="s">
        <v>397</v>
      </c>
      <c r="G75" s="320">
        <v>64500</v>
      </c>
      <c r="H75" s="321">
        <v>3</v>
      </c>
      <c r="I75" s="321">
        <v>1</v>
      </c>
      <c r="J75" s="381">
        <f t="shared" si="4"/>
        <v>193500</v>
      </c>
      <c r="K75" s="261"/>
      <c r="L75" s="262" t="s">
        <v>386</v>
      </c>
    </row>
    <row r="76" spans="1:12" s="465" customFormat="1" ht="13.5" customHeight="1">
      <c r="A76" s="502"/>
      <c r="B76" s="253" t="s">
        <v>284</v>
      </c>
      <c r="C76" s="254" t="s">
        <v>286</v>
      </c>
      <c r="D76" s="466">
        <v>427</v>
      </c>
      <c r="E76" s="276" t="s">
        <v>125</v>
      </c>
      <c r="F76" s="257" t="s">
        <v>354</v>
      </c>
      <c r="G76" s="320">
        <v>8500</v>
      </c>
      <c r="H76" s="321">
        <v>5</v>
      </c>
      <c r="I76" s="321">
        <v>1</v>
      </c>
      <c r="J76" s="381">
        <f t="shared" si="4"/>
        <v>42500</v>
      </c>
      <c r="K76" s="261"/>
      <c r="L76" s="262" t="s">
        <v>386</v>
      </c>
    </row>
    <row r="77" spans="1:12" s="465" customFormat="1" ht="13.5" customHeight="1">
      <c r="A77" s="502"/>
      <c r="B77" s="281" t="s">
        <v>350</v>
      </c>
      <c r="C77" s="254" t="s">
        <v>351</v>
      </c>
      <c r="D77" s="466">
        <v>428</v>
      </c>
      <c r="E77" s="276" t="s">
        <v>125</v>
      </c>
      <c r="F77" s="479" t="s">
        <v>358</v>
      </c>
      <c r="G77" s="320">
        <v>13154</v>
      </c>
      <c r="H77" s="321">
        <v>1</v>
      </c>
      <c r="I77" s="321">
        <v>1</v>
      </c>
      <c r="J77" s="381">
        <f t="shared" si="4"/>
        <v>13154</v>
      </c>
      <c r="K77" s="261"/>
      <c r="L77" s="262" t="s">
        <v>387</v>
      </c>
    </row>
    <row r="78" spans="1:12" s="465" customFormat="1" ht="13.5" customHeight="1">
      <c r="A78" s="502"/>
      <c r="B78" s="281" t="s">
        <v>350</v>
      </c>
      <c r="C78" s="254" t="s">
        <v>351</v>
      </c>
      <c r="D78" s="466">
        <v>429</v>
      </c>
      <c r="E78" s="276" t="s">
        <v>125</v>
      </c>
      <c r="F78" s="479" t="s">
        <v>359</v>
      </c>
      <c r="G78" s="320">
        <v>810</v>
      </c>
      <c r="H78" s="321">
        <v>1</v>
      </c>
      <c r="I78" s="321">
        <v>1</v>
      </c>
      <c r="J78" s="381">
        <f t="shared" si="4"/>
        <v>810</v>
      </c>
      <c r="K78" s="261"/>
      <c r="L78" s="262" t="s">
        <v>388</v>
      </c>
    </row>
    <row r="79" spans="1:12" s="465" customFormat="1" ht="13.5" customHeight="1">
      <c r="A79" s="502"/>
      <c r="B79" s="281" t="s">
        <v>350</v>
      </c>
      <c r="C79" s="254" t="s">
        <v>351</v>
      </c>
      <c r="D79" s="466">
        <v>430</v>
      </c>
      <c r="E79" s="276" t="s">
        <v>125</v>
      </c>
      <c r="F79" s="503" t="s">
        <v>360</v>
      </c>
      <c r="G79" s="320">
        <v>6090</v>
      </c>
      <c r="H79" s="321">
        <v>1</v>
      </c>
      <c r="I79" s="321">
        <v>1</v>
      </c>
      <c r="J79" s="381">
        <f t="shared" si="4"/>
        <v>6090</v>
      </c>
      <c r="K79" s="261"/>
      <c r="L79" s="262" t="s">
        <v>390</v>
      </c>
    </row>
    <row r="80" spans="1:12" s="465" customFormat="1" ht="13.5" customHeight="1" thickBot="1">
      <c r="A80" s="395"/>
      <c r="B80" s="507" t="s">
        <v>350</v>
      </c>
      <c r="C80" s="404" t="s">
        <v>351</v>
      </c>
      <c r="D80" s="405">
        <v>431</v>
      </c>
      <c r="E80" s="508" t="s">
        <v>125</v>
      </c>
      <c r="F80" s="509" t="s">
        <v>361</v>
      </c>
      <c r="G80" s="467">
        <v>1180</v>
      </c>
      <c r="H80" s="468">
        <v>1</v>
      </c>
      <c r="I80" s="468">
        <v>1</v>
      </c>
      <c r="J80" s="510">
        <f t="shared" si="4"/>
        <v>1180</v>
      </c>
      <c r="K80" s="406"/>
      <c r="L80" s="294" t="s">
        <v>389</v>
      </c>
    </row>
    <row r="81" spans="1:12" s="465" customFormat="1" ht="13.5" customHeight="1" thickBot="1">
      <c r="A81" s="53"/>
      <c r="B81" s="53"/>
      <c r="C81" s="53"/>
      <c r="D81" s="5"/>
      <c r="E81" s="431" t="s">
        <v>247</v>
      </c>
      <c r="F81" s="653"/>
      <c r="G81" s="653"/>
      <c r="H81" s="5"/>
      <c r="I81" s="5"/>
      <c r="J81" s="5"/>
      <c r="K81" s="5"/>
      <c r="L81" s="5"/>
    </row>
    <row r="82" spans="1:12" s="465" customFormat="1" ht="13.5" customHeight="1" thickBot="1">
      <c r="A82" s="53"/>
      <c r="B82" s="53"/>
      <c r="C82" s="53"/>
      <c r="D82" s="5"/>
      <c r="E82" s="240" t="s">
        <v>96</v>
      </c>
      <c r="F82" s="230" t="s">
        <v>172</v>
      </c>
      <c r="G82" s="230" t="s">
        <v>16</v>
      </c>
      <c r="H82" s="654" t="s">
        <v>245</v>
      </c>
      <c r="I82" s="655"/>
      <c r="J82" s="157" t="s">
        <v>108</v>
      </c>
      <c r="K82" s="621" t="s">
        <v>194</v>
      </c>
      <c r="L82" s="622"/>
    </row>
    <row r="83" spans="1:12" s="465" customFormat="1" ht="13.5" customHeight="1" thickTop="1">
      <c r="A83" s="53"/>
      <c r="B83" s="53"/>
      <c r="C83" s="53"/>
      <c r="D83" s="5"/>
      <c r="E83" s="298" t="s">
        <v>85</v>
      </c>
      <c r="F83" s="348">
        <f>'2-1'!B23</f>
        <v>51000</v>
      </c>
      <c r="G83" s="348">
        <f aca="true" t="shared" si="5" ref="G83:G91">-SUMIF($E$4:$E$47,$E83,$J$4:$J$47)+SUMIF($E$50:$E$80,$E83,$J$50:$J$80)</f>
        <v>-51000</v>
      </c>
      <c r="H83" s="566">
        <f aca="true" t="shared" si="6" ref="H83:H91">-SUMIF($E$4:$E$47,$E83,$M$4:$M$47)+SUMIF($E$50:$E$80,$E83,$M$50:$M$86)</f>
        <v>0</v>
      </c>
      <c r="I83" s="639"/>
      <c r="J83" s="350">
        <f aca="true" t="shared" si="7" ref="J83:J91">G83-H83</f>
        <v>-51000</v>
      </c>
      <c r="K83" s="583">
        <f aca="true" t="shared" si="8" ref="K83:K91">F83+G83</f>
        <v>0</v>
      </c>
      <c r="L83" s="623"/>
    </row>
    <row r="84" spans="1:12" s="465" customFormat="1" ht="13.5" customHeight="1">
      <c r="A84" s="53"/>
      <c r="B84" s="53"/>
      <c r="C84" s="53"/>
      <c r="D84" s="5"/>
      <c r="E84" s="298" t="s">
        <v>86</v>
      </c>
      <c r="F84" s="352">
        <f>'2-1'!C23</f>
        <v>9950</v>
      </c>
      <c r="G84" s="348">
        <f t="shared" si="5"/>
        <v>-9950</v>
      </c>
      <c r="H84" s="574">
        <f t="shared" si="6"/>
        <v>0</v>
      </c>
      <c r="I84" s="628"/>
      <c r="J84" s="350">
        <f t="shared" si="7"/>
        <v>-9950</v>
      </c>
      <c r="K84" s="583">
        <f t="shared" si="8"/>
        <v>0</v>
      </c>
      <c r="L84" s="623"/>
    </row>
    <row r="85" spans="1:12" s="465" customFormat="1" ht="13.5" customHeight="1">
      <c r="A85" s="53"/>
      <c r="B85" s="53"/>
      <c r="C85" s="53"/>
      <c r="D85" s="5"/>
      <c r="E85" s="298" t="s">
        <v>125</v>
      </c>
      <c r="F85" s="352">
        <f>'2-1'!D23</f>
        <v>761794</v>
      </c>
      <c r="G85" s="348">
        <f t="shared" si="5"/>
        <v>157926</v>
      </c>
      <c r="H85" s="574">
        <f t="shared" si="6"/>
        <v>0</v>
      </c>
      <c r="I85" s="628"/>
      <c r="J85" s="350">
        <f t="shared" si="7"/>
        <v>157926</v>
      </c>
      <c r="K85" s="583">
        <f t="shared" si="8"/>
        <v>919720</v>
      </c>
      <c r="L85" s="623"/>
    </row>
    <row r="86" spans="1:12" s="465" customFormat="1" ht="13.5" customHeight="1">
      <c r="A86" s="53"/>
      <c r="B86" s="53"/>
      <c r="C86" s="53"/>
      <c r="D86" s="5"/>
      <c r="E86" s="298" t="s">
        <v>126</v>
      </c>
      <c r="F86" s="352">
        <f>'2-1'!E23</f>
        <v>0</v>
      </c>
      <c r="G86" s="348">
        <f t="shared" si="5"/>
        <v>0</v>
      </c>
      <c r="H86" s="574">
        <f t="shared" si="6"/>
        <v>0</v>
      </c>
      <c r="I86" s="628"/>
      <c r="J86" s="350">
        <f t="shared" si="7"/>
        <v>0</v>
      </c>
      <c r="K86" s="583">
        <f t="shared" si="8"/>
        <v>0</v>
      </c>
      <c r="L86" s="623"/>
    </row>
    <row r="87" spans="1:12" ht="24" customHeight="1">
      <c r="A87" s="53"/>
      <c r="B87" s="53"/>
      <c r="C87" s="53"/>
      <c r="E87" s="298" t="s">
        <v>87</v>
      </c>
      <c r="F87" s="352">
        <f>'2-1'!F23</f>
        <v>0</v>
      </c>
      <c r="G87" s="348">
        <f t="shared" si="5"/>
        <v>0</v>
      </c>
      <c r="H87" s="574">
        <f t="shared" si="6"/>
        <v>0</v>
      </c>
      <c r="I87" s="628"/>
      <c r="J87" s="350">
        <f t="shared" si="7"/>
        <v>0</v>
      </c>
      <c r="K87" s="583">
        <f t="shared" si="8"/>
        <v>0</v>
      </c>
      <c r="L87" s="623"/>
    </row>
    <row r="88" spans="1:12" ht="24" customHeight="1">
      <c r="A88" s="53"/>
      <c r="B88" s="53"/>
      <c r="C88" s="53"/>
      <c r="E88" s="298" t="s">
        <v>88</v>
      </c>
      <c r="F88" s="352">
        <f>'2-1'!G23</f>
        <v>0</v>
      </c>
      <c r="G88" s="348">
        <f t="shared" si="5"/>
        <v>0</v>
      </c>
      <c r="H88" s="574">
        <f t="shared" si="6"/>
        <v>0</v>
      </c>
      <c r="I88" s="628"/>
      <c r="J88" s="350">
        <f t="shared" si="7"/>
        <v>0</v>
      </c>
      <c r="K88" s="583">
        <f t="shared" si="8"/>
        <v>0</v>
      </c>
      <c r="L88" s="623"/>
    </row>
    <row r="89" spans="1:12" ht="14.25">
      <c r="A89" s="53"/>
      <c r="B89" s="53"/>
      <c r="C89" s="53"/>
      <c r="E89" s="298" t="s">
        <v>89</v>
      </c>
      <c r="F89" s="352">
        <f>'2-1'!H23</f>
        <v>0</v>
      </c>
      <c r="G89" s="348">
        <f t="shared" si="5"/>
        <v>0</v>
      </c>
      <c r="H89" s="574">
        <f t="shared" si="6"/>
        <v>0</v>
      </c>
      <c r="I89" s="628"/>
      <c r="J89" s="350">
        <f t="shared" si="7"/>
        <v>0</v>
      </c>
      <c r="K89" s="583">
        <f t="shared" si="8"/>
        <v>0</v>
      </c>
      <c r="L89" s="623"/>
    </row>
    <row r="90" spans="1:12" ht="14.25">
      <c r="A90" s="53"/>
      <c r="B90" s="53"/>
      <c r="C90" s="53"/>
      <c r="E90" s="298" t="s">
        <v>90</v>
      </c>
      <c r="F90" s="352">
        <f>'2-1'!I23</f>
        <v>117720</v>
      </c>
      <c r="G90" s="348">
        <f t="shared" si="5"/>
        <v>-117720</v>
      </c>
      <c r="H90" s="574">
        <f t="shared" si="6"/>
        <v>0</v>
      </c>
      <c r="I90" s="628"/>
      <c r="J90" s="350">
        <f t="shared" si="7"/>
        <v>-117720</v>
      </c>
      <c r="K90" s="583">
        <f t="shared" si="8"/>
        <v>0</v>
      </c>
      <c r="L90" s="623"/>
    </row>
    <row r="91" spans="1:12" ht="15" thickBot="1">
      <c r="A91" s="53"/>
      <c r="B91" s="53"/>
      <c r="C91" s="53"/>
      <c r="E91" s="298" t="s">
        <v>138</v>
      </c>
      <c r="F91" s="398">
        <f>'2-1'!J23</f>
        <v>39920</v>
      </c>
      <c r="G91" s="348">
        <f t="shared" si="5"/>
        <v>0</v>
      </c>
      <c r="H91" s="659">
        <f t="shared" si="6"/>
        <v>0</v>
      </c>
      <c r="I91" s="660"/>
      <c r="J91" s="350">
        <f t="shared" si="7"/>
        <v>0</v>
      </c>
      <c r="K91" s="617">
        <f t="shared" si="8"/>
        <v>39920</v>
      </c>
      <c r="L91" s="618"/>
    </row>
    <row r="92" spans="1:12" ht="15.75" thickBot="1" thickTop="1">
      <c r="A92" s="53"/>
      <c r="B92" s="53"/>
      <c r="C92" s="53"/>
      <c r="E92" s="399" t="s">
        <v>15</v>
      </c>
      <c r="F92" s="355">
        <f>SUM(F83:F91)</f>
        <v>980384</v>
      </c>
      <c r="G92" s="355">
        <f>SUM(G83:G91)</f>
        <v>-20744</v>
      </c>
      <c r="H92" s="658">
        <f>SUM(H83:I91)</f>
        <v>0</v>
      </c>
      <c r="I92" s="652"/>
      <c r="J92" s="356">
        <f>SUM(J83:J91)</f>
        <v>-20744</v>
      </c>
      <c r="K92" s="619">
        <f>SUM(K83:L91)</f>
        <v>959640</v>
      </c>
      <c r="L92" s="620"/>
    </row>
    <row r="93" spans="1:3" ht="14.25">
      <c r="A93" s="53"/>
      <c r="B93" s="53"/>
      <c r="C93" s="53"/>
    </row>
    <row r="94" spans="1:3" ht="14.25">
      <c r="A94" s="53"/>
      <c r="B94" s="53"/>
      <c r="C94" s="53"/>
    </row>
    <row r="95" spans="1:3" ht="13.5">
      <c r="A95" s="53"/>
      <c r="B95" s="53"/>
      <c r="C95" s="53"/>
    </row>
    <row r="96" spans="1:3" ht="13.5">
      <c r="A96" s="53"/>
      <c r="B96" s="53"/>
      <c r="C96" s="53"/>
    </row>
    <row r="97" spans="1:3" ht="13.5">
      <c r="A97" s="53"/>
      <c r="B97" s="53"/>
      <c r="C97" s="53"/>
    </row>
    <row r="98" spans="1:3" ht="13.5">
      <c r="A98" s="53"/>
      <c r="B98" s="53"/>
      <c r="C98" s="53"/>
    </row>
    <row r="99" spans="1:3" ht="13.5">
      <c r="A99" s="53"/>
      <c r="B99" s="53"/>
      <c r="C99" s="53"/>
    </row>
    <row r="100" spans="1:3" ht="13.5">
      <c r="A100" s="53"/>
      <c r="B100" s="53"/>
      <c r="C100" s="53"/>
    </row>
    <row r="101" spans="1:3" ht="13.5">
      <c r="A101" s="53"/>
      <c r="B101" s="53"/>
      <c r="C101" s="53"/>
    </row>
    <row r="102" spans="1:3" ht="13.5">
      <c r="A102" s="53"/>
      <c r="B102" s="53"/>
      <c r="C102" s="53"/>
    </row>
    <row r="103" spans="1:3" ht="13.5">
      <c r="A103" s="53"/>
      <c r="B103" s="53"/>
      <c r="C103" s="53"/>
    </row>
    <row r="104" spans="1:3" ht="13.5">
      <c r="A104" s="53"/>
      <c r="B104" s="53"/>
      <c r="C104" s="53"/>
    </row>
    <row r="105" spans="1:3" ht="13.5">
      <c r="A105" s="53"/>
      <c r="B105" s="53"/>
      <c r="C105" s="53"/>
    </row>
    <row r="106" spans="1:3" ht="13.5">
      <c r="A106" s="53"/>
      <c r="B106" s="53"/>
      <c r="C106" s="53"/>
    </row>
    <row r="107" spans="1:3" ht="13.5">
      <c r="A107" s="53"/>
      <c r="B107" s="53"/>
      <c r="C107" s="53"/>
    </row>
    <row r="108" spans="1:3" ht="13.5">
      <c r="A108" s="53"/>
      <c r="B108" s="53"/>
      <c r="C108" s="53"/>
    </row>
    <row r="109" spans="1:3" ht="13.5">
      <c r="A109" s="53"/>
      <c r="B109" s="53"/>
      <c r="C109" s="53"/>
    </row>
    <row r="110" spans="1:3" ht="13.5">
      <c r="A110" s="53"/>
      <c r="B110" s="53"/>
      <c r="C110" s="53"/>
    </row>
    <row r="111" spans="1:3" ht="13.5">
      <c r="A111" s="53"/>
      <c r="B111" s="53"/>
      <c r="C111" s="53"/>
    </row>
    <row r="112" spans="1:3" ht="13.5">
      <c r="A112" s="53"/>
      <c r="B112" s="53"/>
      <c r="C112" s="53"/>
    </row>
    <row r="113" spans="1:3" ht="13.5">
      <c r="A113" s="53"/>
      <c r="B113" s="53"/>
      <c r="C113" s="53"/>
    </row>
    <row r="114" spans="1:3" ht="13.5">
      <c r="A114" s="53"/>
      <c r="B114" s="53"/>
      <c r="C114" s="53"/>
    </row>
    <row r="115" spans="1:3" ht="13.5">
      <c r="A115" s="53"/>
      <c r="B115" s="53"/>
      <c r="C115" s="53"/>
    </row>
    <row r="116" spans="1:3" ht="13.5">
      <c r="A116" s="53"/>
      <c r="B116" s="53"/>
      <c r="C116" s="53"/>
    </row>
    <row r="117" spans="1:3" ht="13.5">
      <c r="A117" s="53"/>
      <c r="B117" s="53"/>
      <c r="C117" s="53"/>
    </row>
    <row r="118" spans="1:3" ht="13.5">
      <c r="A118" s="53"/>
      <c r="B118" s="53"/>
      <c r="C118" s="53"/>
    </row>
    <row r="119" spans="1:3" ht="13.5">
      <c r="A119" s="53"/>
      <c r="B119" s="53"/>
      <c r="C119" s="53"/>
    </row>
    <row r="120" spans="1:3" ht="13.5">
      <c r="A120" s="24"/>
      <c r="B120" s="53"/>
      <c r="C120" s="53"/>
    </row>
    <row r="121" spans="1:3" ht="13.5">
      <c r="A121" s="24"/>
      <c r="B121" s="53"/>
      <c r="C121" s="53"/>
    </row>
    <row r="122" spans="1:3" ht="13.5">
      <c r="A122" s="24"/>
      <c r="B122" s="53"/>
      <c r="C122" s="53"/>
    </row>
    <row r="123" spans="1:3" ht="13.5">
      <c r="A123" s="24"/>
      <c r="B123" s="53"/>
      <c r="C123" s="53"/>
    </row>
    <row r="124" spans="1:3" ht="13.5">
      <c r="A124" s="24"/>
      <c r="B124" s="53"/>
      <c r="C124" s="53"/>
    </row>
    <row r="125" spans="1:3" ht="13.5">
      <c r="A125" s="24"/>
      <c r="B125" s="53"/>
      <c r="C125" s="53"/>
    </row>
    <row r="126" spans="1:3" ht="13.5">
      <c r="A126" s="24"/>
      <c r="B126" s="53"/>
      <c r="C126" s="53"/>
    </row>
    <row r="127" spans="1:3" ht="13.5">
      <c r="A127" s="24"/>
      <c r="B127" s="53"/>
      <c r="C127" s="53"/>
    </row>
    <row r="128" spans="1:3" ht="13.5">
      <c r="A128" s="24"/>
      <c r="B128" s="53"/>
      <c r="C128" s="53"/>
    </row>
    <row r="129" spans="1:3" ht="13.5">
      <c r="A129" s="24"/>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row r="140" spans="2:3" ht="13.5">
      <c r="B140" s="53"/>
      <c r="C140" s="53"/>
    </row>
    <row r="141" spans="2:3" ht="13.5">
      <c r="B141" s="53"/>
      <c r="C141" s="53"/>
    </row>
    <row r="142" spans="2:3" ht="13.5">
      <c r="B142" s="53"/>
      <c r="C142" s="53"/>
    </row>
    <row r="143" spans="2:3" ht="13.5">
      <c r="B143" s="53"/>
      <c r="C143" s="53"/>
    </row>
    <row r="144" spans="2:3" ht="13.5">
      <c r="B144" s="53"/>
      <c r="C144" s="53"/>
    </row>
    <row r="145" spans="2:3" ht="13.5">
      <c r="B145" s="53"/>
      <c r="C145" s="53"/>
    </row>
    <row r="146" spans="2:3" ht="13.5">
      <c r="B146" s="53"/>
      <c r="C146" s="53"/>
    </row>
    <row r="147" spans="2:3" ht="13.5">
      <c r="B147" s="53"/>
      <c r="C147" s="53"/>
    </row>
    <row r="148" spans="2:3" ht="13.5">
      <c r="B148" s="53"/>
      <c r="C148" s="53"/>
    </row>
    <row r="149" spans="2:3" ht="13.5">
      <c r="B149" s="53"/>
      <c r="C149" s="53"/>
    </row>
    <row r="150" spans="2:3" ht="13.5">
      <c r="B150" s="53"/>
      <c r="C150" s="53"/>
    </row>
    <row r="151" spans="2:3" ht="13.5">
      <c r="B151" s="53"/>
      <c r="C151" s="53"/>
    </row>
    <row r="152" spans="2:3" ht="13.5">
      <c r="B152" s="53"/>
      <c r="C152" s="53"/>
    </row>
    <row r="153" spans="2:3" ht="13.5">
      <c r="B153" s="53"/>
      <c r="C153" s="53"/>
    </row>
    <row r="154" spans="2:3" ht="13.5">
      <c r="B154" s="53"/>
      <c r="C154" s="53"/>
    </row>
    <row r="155" spans="2:3" ht="13.5">
      <c r="B155" s="53"/>
      <c r="C155" s="53"/>
    </row>
    <row r="156" spans="2:3" ht="13.5">
      <c r="B156" s="53"/>
      <c r="C156" s="53"/>
    </row>
    <row r="157" spans="2:3" ht="13.5">
      <c r="B157" s="53"/>
      <c r="C157" s="53"/>
    </row>
    <row r="158" spans="2:3" ht="13.5">
      <c r="B158" s="53"/>
      <c r="C158" s="53"/>
    </row>
    <row r="159" spans="2:3" ht="13.5">
      <c r="B159" s="53"/>
      <c r="C159" s="53"/>
    </row>
    <row r="160" spans="2:3" ht="13.5">
      <c r="B160" s="53"/>
      <c r="C160" s="53"/>
    </row>
    <row r="161" spans="2:3" ht="13.5">
      <c r="B161" s="53"/>
      <c r="C161" s="53"/>
    </row>
    <row r="162" spans="2:3" ht="13.5">
      <c r="B162" s="53"/>
      <c r="C162" s="53"/>
    </row>
    <row r="163" spans="2:3" ht="13.5">
      <c r="B163" s="53"/>
      <c r="C163" s="53"/>
    </row>
    <row r="164" spans="2:3" ht="13.5">
      <c r="B164" s="53"/>
      <c r="C164" s="53"/>
    </row>
    <row r="165" spans="2:3" ht="13.5">
      <c r="B165" s="53"/>
      <c r="C165" s="53"/>
    </row>
    <row r="166" spans="2:3" ht="13.5">
      <c r="B166" s="53"/>
      <c r="C166" s="53"/>
    </row>
    <row r="167" spans="2:3" ht="13.5">
      <c r="B167" s="53"/>
      <c r="C167" s="53"/>
    </row>
    <row r="168" spans="2:3" ht="13.5">
      <c r="B168" s="53"/>
      <c r="C168" s="53"/>
    </row>
    <row r="169" spans="2:3" ht="13.5">
      <c r="B169" s="53"/>
      <c r="C169" s="53"/>
    </row>
    <row r="170" spans="2:3" ht="13.5">
      <c r="B170" s="53"/>
      <c r="C170" s="53"/>
    </row>
    <row r="171" spans="2:3" ht="13.5">
      <c r="B171" s="53"/>
      <c r="C171" s="53"/>
    </row>
    <row r="172" spans="2:3" ht="13.5">
      <c r="B172" s="53"/>
      <c r="C172" s="53"/>
    </row>
    <row r="173" spans="2:3" ht="13.5">
      <c r="B173" s="53"/>
      <c r="C173" s="53"/>
    </row>
    <row r="174" spans="2:3" ht="13.5">
      <c r="B174" s="53"/>
      <c r="C174" s="53"/>
    </row>
    <row r="175" spans="2:3" ht="13.5">
      <c r="B175" s="53"/>
      <c r="C175" s="53"/>
    </row>
    <row r="176" spans="2:3" ht="13.5">
      <c r="B176" s="53"/>
      <c r="C176" s="53"/>
    </row>
    <row r="177" spans="2:3" ht="13.5">
      <c r="B177" s="53"/>
      <c r="C177" s="53"/>
    </row>
    <row r="178" spans="2:3" ht="13.5">
      <c r="B178" s="53"/>
      <c r="C178" s="53"/>
    </row>
    <row r="179" spans="2:3" ht="13.5">
      <c r="B179" s="53"/>
      <c r="C179" s="53"/>
    </row>
    <row r="180" spans="2:3" ht="13.5">
      <c r="B180" s="53"/>
      <c r="C180" s="53"/>
    </row>
    <row r="181" spans="2:3" ht="13.5">
      <c r="B181" s="53"/>
      <c r="C181" s="53"/>
    </row>
    <row r="182" spans="2:3" ht="13.5">
      <c r="B182" s="53"/>
      <c r="C182" s="53"/>
    </row>
  </sheetData>
  <sheetProtection sheet="1" formatCells="0" selectLockedCells="1"/>
  <mergeCells count="23">
    <mergeCell ref="H92:I92"/>
    <mergeCell ref="H86:I86"/>
    <mergeCell ref="H87:I87"/>
    <mergeCell ref="H88:I88"/>
    <mergeCell ref="H89:I89"/>
    <mergeCell ref="H90:I90"/>
    <mergeCell ref="H91:I91"/>
    <mergeCell ref="K87:L87"/>
    <mergeCell ref="K88:L88"/>
    <mergeCell ref="K89:L89"/>
    <mergeCell ref="K90:L90"/>
    <mergeCell ref="K91:L91"/>
    <mergeCell ref="K92:L92"/>
    <mergeCell ref="F81:G81"/>
    <mergeCell ref="K82:L82"/>
    <mergeCell ref="K83:L83"/>
    <mergeCell ref="K84:L84"/>
    <mergeCell ref="K85:L85"/>
    <mergeCell ref="K86:L86"/>
    <mergeCell ref="H82:I82"/>
    <mergeCell ref="H83:I83"/>
    <mergeCell ref="H84:I84"/>
    <mergeCell ref="H85:I85"/>
  </mergeCells>
  <conditionalFormatting sqref="J83:K91 F83:H91">
    <cfRule type="cellIs" priority="8" dxfId="30" operator="equal" stopIfTrue="1">
      <formula>0</formula>
    </cfRule>
  </conditionalFormatting>
  <conditionalFormatting sqref="E4:K47 J50:J73 J77:J80">
    <cfRule type="cellIs" priority="7" dxfId="30" operator="equal" stopIfTrue="1">
      <formula>0</formula>
    </cfRule>
  </conditionalFormatting>
  <conditionalFormatting sqref="B2:C2">
    <cfRule type="cellIs" priority="4" dxfId="30" operator="equal" stopIfTrue="1">
      <formula>0</formula>
    </cfRule>
  </conditionalFormatting>
  <conditionalFormatting sqref="L4:L47">
    <cfRule type="cellIs" priority="3" dxfId="30" operator="equal" stopIfTrue="1">
      <formula>0</formula>
    </cfRule>
  </conditionalFormatting>
  <conditionalFormatting sqref="F71:H72">
    <cfRule type="cellIs" priority="2" dxfId="30" operator="equal" stopIfTrue="1">
      <formula>0</formula>
    </cfRule>
  </conditionalFormatting>
  <conditionalFormatting sqref="J74:J76">
    <cfRule type="cellIs" priority="1" dxfId="30" operator="equal" stopIfTrue="1">
      <formula>0</formula>
    </cfRule>
  </conditionalFormatting>
  <dataValidations count="2">
    <dataValidation type="list" allowBlank="1" showInputMessage="1" showErrorMessage="1" sqref="E83:E91 E50:E80">
      <formula1>"報償費,旅費,消耗需用費,維持需用費,役務費,委託料,使用料及び賃借料,備品購入費,負担金、補助及び交付金"</formula1>
    </dataValidation>
    <dataValidation type="list" allowBlank="1" showInputMessage="1" showErrorMessage="1" sqref="K50:K80">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rowBreaks count="1" manualBreakCount="1">
    <brk id="47" max="11" man="1"/>
  </rowBreaks>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9"/>
  <sheetViews>
    <sheetView showZeros="0"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63" t="s">
        <v>143</v>
      </c>
      <c r="G2" s="561"/>
      <c r="H2" s="561"/>
      <c r="I2" s="561"/>
      <c r="J2" s="564"/>
      <c r="K2" s="560" t="s">
        <v>115</v>
      </c>
      <c r="L2" s="561"/>
      <c r="M2" s="561"/>
      <c r="N2" s="561"/>
      <c r="O2" s="562"/>
      <c r="P2" s="13"/>
    </row>
    <row r="3" spans="1:21" ht="24" customHeight="1">
      <c r="A3" s="422" t="s">
        <v>141</v>
      </c>
      <c r="B3" s="295" t="s">
        <v>142</v>
      </c>
      <c r="C3" s="60" t="s">
        <v>144</v>
      </c>
      <c r="D3" s="96" t="s">
        <v>161</v>
      </c>
      <c r="E3" s="96" t="s">
        <v>0</v>
      </c>
      <c r="F3" s="96" t="s">
        <v>197</v>
      </c>
      <c r="G3" s="96" t="s">
        <v>91</v>
      </c>
      <c r="H3" s="470" t="s">
        <v>246</v>
      </c>
      <c r="I3" s="96" t="s">
        <v>92</v>
      </c>
      <c r="J3" s="96" t="s">
        <v>93</v>
      </c>
      <c r="K3" s="383" t="s">
        <v>199</v>
      </c>
      <c r="L3" s="384" t="s">
        <v>91</v>
      </c>
      <c r="M3" s="470" t="s">
        <v>246</v>
      </c>
      <c r="N3" s="384" t="s">
        <v>92</v>
      </c>
      <c r="O3" s="385" t="s">
        <v>93</v>
      </c>
      <c r="P3" s="228" t="s">
        <v>111</v>
      </c>
      <c r="Q3" s="296" t="s">
        <v>107</v>
      </c>
      <c r="R3" s="62" t="s">
        <v>148</v>
      </c>
      <c r="S3" s="61" t="s">
        <v>149</v>
      </c>
      <c r="T3" s="61" t="s">
        <v>150</v>
      </c>
      <c r="U3" s="61" t="s">
        <v>151</v>
      </c>
    </row>
    <row r="4" spans="1:21" ht="39.75" customHeight="1">
      <c r="A4" s="362">
        <f>'1-2'!A4</f>
        <v>0</v>
      </c>
      <c r="B4" s="363" t="str">
        <f>'1-2'!B4</f>
        <v>1(1)ウ</v>
      </c>
      <c r="C4" s="364" t="str">
        <f>'1-2'!C4</f>
        <v>授業改善に取り組む。</v>
      </c>
      <c r="D4" s="244">
        <v>1</v>
      </c>
      <c r="E4" s="303" t="str">
        <f>'2-2'!E4</f>
        <v>負担金、補助及び交付金</v>
      </c>
      <c r="F4" s="303" t="str">
        <f>'2-2'!F4</f>
        <v>各種団体負担金（会費）</v>
      </c>
      <c r="G4" s="304">
        <f>'2-2'!G4</f>
        <v>99820</v>
      </c>
      <c r="H4" s="305">
        <f>'2-2'!H4</f>
        <v>1</v>
      </c>
      <c r="I4" s="305">
        <f>'2-2'!I4</f>
        <v>1</v>
      </c>
      <c r="J4" s="365">
        <f>'2-2'!J4</f>
        <v>99820</v>
      </c>
      <c r="K4" s="366" t="str">
        <f>'2-2'!K4</f>
        <v>各種団体負担金（会費）</v>
      </c>
      <c r="L4" s="304">
        <f>'2-2'!L4</f>
        <v>64170</v>
      </c>
      <c r="M4" s="305">
        <f>'2-2'!M4</f>
        <v>1</v>
      </c>
      <c r="N4" s="305">
        <f>'2-2'!N4</f>
        <v>1</v>
      </c>
      <c r="O4" s="367">
        <f>L4*M4*N4</f>
        <v>64170</v>
      </c>
      <c r="P4" s="368">
        <f>'2-2'!P4</f>
        <v>0</v>
      </c>
      <c r="Q4" s="369" t="str">
        <f>'2-2'!Q4</f>
        <v>詳細は様式２－３のとおり</v>
      </c>
      <c r="R4" s="25">
        <f>IF(AND(ISNA(MATCH($D4,'随時②-2'!$D$4:$D$18,0)),ISNA(MATCH($D4,'随時③-2'!$D$4:$D$47,0))),0,1)</f>
        <v>0</v>
      </c>
      <c r="S4" s="63">
        <f aca="true" t="shared" si="0" ref="S4:S13">IF(P4="◎",J4,"")</f>
      </c>
      <c r="T4" s="63">
        <f aca="true" t="shared" si="1" ref="T4:T13">IF(P4="◎",O4,"")</f>
      </c>
      <c r="U4" s="5">
        <f>IF($E4=0,"",VLOOKUP($E4,$V$5:$X$13,2))</f>
        <v>9</v>
      </c>
    </row>
    <row r="5" spans="1:23" ht="39.75" customHeight="1">
      <c r="A5" s="370">
        <f>'1-2'!A5</f>
        <v>0</v>
      </c>
      <c r="B5" s="371" t="str">
        <f>'1-2'!B5</f>
        <v>1(1)ウ</v>
      </c>
      <c r="C5" s="372" t="str">
        <f>'1-2'!C5</f>
        <v>授業改善に取り組む。</v>
      </c>
      <c r="D5" s="255">
        <v>2</v>
      </c>
      <c r="E5" s="315" t="str">
        <f>'2-2'!E5</f>
        <v>負担金、補助及び交付金</v>
      </c>
      <c r="F5" s="316" t="str">
        <f>'2-2'!F5</f>
        <v>全国特別支援学校校長会研究大会資料代</v>
      </c>
      <c r="G5" s="225">
        <f>'2-2'!G5</f>
        <v>3000</v>
      </c>
      <c r="H5" s="317">
        <f>'2-2'!H5</f>
        <v>1</v>
      </c>
      <c r="I5" s="317">
        <f>'2-2'!I5</f>
        <v>1</v>
      </c>
      <c r="J5" s="373">
        <f>'2-2'!J5</f>
        <v>3000</v>
      </c>
      <c r="K5" s="374" t="str">
        <f>'2-2'!K5</f>
        <v>全国特別支援学校校長会研究大会資料代</v>
      </c>
      <c r="L5" s="225">
        <f>'2-2'!L5</f>
        <v>3000</v>
      </c>
      <c r="M5" s="317">
        <f>'2-2'!M5</f>
        <v>1</v>
      </c>
      <c r="N5" s="317">
        <f>'2-2'!N5</f>
        <v>1</v>
      </c>
      <c r="O5" s="343">
        <f>L5*M5*N5</f>
        <v>3000</v>
      </c>
      <c r="P5" s="375">
        <f>'2-2'!P5</f>
        <v>0</v>
      </c>
      <c r="Q5" s="376">
        <f>'2-2'!Q5</f>
        <v>0</v>
      </c>
      <c r="R5" s="25">
        <f>IF(AND(ISNA(MATCH($D5,'随時②-2'!$D$4:$D$18,0)),ISNA(MATCH($D5,'随時③-2'!$D$4:$D$47,0))),0,1)</f>
        <v>0</v>
      </c>
      <c r="S5" s="63">
        <f t="shared" si="0"/>
      </c>
      <c r="T5" s="63">
        <f t="shared" si="1"/>
      </c>
      <c r="U5" s="5">
        <f aca="true" t="shared" si="2" ref="U5:U13">IF($E5=0,"",VLOOKUP($E5,$V$5:$X$13,2))</f>
        <v>9</v>
      </c>
      <c r="V5" s="5" t="s">
        <v>152</v>
      </c>
      <c r="W5" s="5">
        <v>6</v>
      </c>
    </row>
    <row r="6" spans="1:23" ht="39.75" customHeight="1">
      <c r="A6" s="370">
        <f>'1-2'!A6</f>
        <v>0</v>
      </c>
      <c r="B6" s="371" t="str">
        <f>'1-2'!B6</f>
        <v>1(1)ウ</v>
      </c>
      <c r="C6" s="372" t="str">
        <f>'1-2'!C6</f>
        <v>授業改善に取り組む。</v>
      </c>
      <c r="D6" s="255">
        <v>3</v>
      </c>
      <c r="E6" s="315" t="str">
        <f>'2-2'!E6</f>
        <v>負担金、補助及び交付金</v>
      </c>
      <c r="F6" s="316" t="str">
        <f>'2-2'!F6</f>
        <v>府立人研夏季セミナー参加費</v>
      </c>
      <c r="G6" s="225">
        <f>'2-2'!G6</f>
        <v>2000</v>
      </c>
      <c r="H6" s="317">
        <f>'2-2'!H6</f>
        <v>1</v>
      </c>
      <c r="I6" s="317">
        <f>'2-2'!I6</f>
        <v>1</v>
      </c>
      <c r="J6" s="373">
        <f>'2-2'!J6</f>
        <v>2000</v>
      </c>
      <c r="K6" s="374" t="str">
        <f>'2-2'!K6</f>
        <v>府立人研夏季セミナー参加費</v>
      </c>
      <c r="L6" s="225">
        <f>'2-2'!L6</f>
        <v>0</v>
      </c>
      <c r="M6" s="317">
        <f>'2-2'!M6</f>
        <v>1</v>
      </c>
      <c r="N6" s="317">
        <f>'2-2'!N6</f>
        <v>1</v>
      </c>
      <c r="O6" s="343">
        <f aca="true" t="shared" si="3" ref="O6:O13">L6*M6*N6</f>
        <v>0</v>
      </c>
      <c r="P6" s="375">
        <f>'2-2'!P6</f>
        <v>0</v>
      </c>
      <c r="Q6" s="376">
        <f>'2-2'!Q6</f>
        <v>0</v>
      </c>
      <c r="R6" s="25">
        <f>IF(AND(ISNA(MATCH($D6,'随時②-2'!$D$4:$D$18,0)),ISNA(MATCH($D6,'随時③-2'!$D$4:$D$47,0))),0,1)</f>
        <v>0</v>
      </c>
      <c r="S6" s="63">
        <f t="shared" si="0"/>
      </c>
      <c r="T6" s="63">
        <f t="shared" si="1"/>
      </c>
      <c r="U6" s="5">
        <f t="shared" si="2"/>
        <v>9</v>
      </c>
      <c r="V6" s="5" t="s">
        <v>153</v>
      </c>
      <c r="W6" s="5">
        <v>4</v>
      </c>
    </row>
    <row r="7" spans="1:23" ht="39.75" customHeight="1">
      <c r="A7" s="370">
        <f>'1-2'!A7</f>
        <v>0</v>
      </c>
      <c r="B7" s="371" t="str">
        <f>'1-2'!B7</f>
        <v>1(1)ウ</v>
      </c>
      <c r="C7" s="372" t="str">
        <f>'1-2'!C7</f>
        <v>授業改善に取り組む。</v>
      </c>
      <c r="D7" s="255">
        <v>4</v>
      </c>
      <c r="E7" s="315" t="str">
        <f>'2-2'!E7</f>
        <v>負担金、補助及び交付金</v>
      </c>
      <c r="F7" s="316" t="str">
        <f>'2-2'!F7</f>
        <v>自閉症スペクトラム症への認知発達治療参加費</v>
      </c>
      <c r="G7" s="225">
        <f>'2-2'!G7</f>
        <v>8000</v>
      </c>
      <c r="H7" s="317">
        <f>'2-2'!H7</f>
        <v>1</v>
      </c>
      <c r="I7" s="317">
        <f>'2-2'!I7</f>
        <v>1</v>
      </c>
      <c r="J7" s="373">
        <f>'2-2'!J7</f>
        <v>8000</v>
      </c>
      <c r="K7" s="374" t="str">
        <f>'2-2'!K7</f>
        <v>自閉症スペクトラム症への認知発達治療参加費</v>
      </c>
      <c r="L7" s="225">
        <f>'2-2'!L7</f>
        <v>0</v>
      </c>
      <c r="M7" s="317">
        <f>'2-2'!M7</f>
        <v>1</v>
      </c>
      <c r="N7" s="317">
        <f>'2-2'!N7</f>
        <v>1</v>
      </c>
      <c r="O7" s="343">
        <f t="shared" si="3"/>
        <v>0</v>
      </c>
      <c r="P7" s="375">
        <f>'2-2'!P7</f>
        <v>0</v>
      </c>
      <c r="Q7" s="376">
        <f>'2-2'!Q7</f>
        <v>0</v>
      </c>
      <c r="R7" s="25">
        <f>IF(AND(ISNA(MATCH($D7,'随時②-2'!$D$4:$D$18,0)),ISNA(MATCH($D7,'随時③-2'!$D$4:$D$47,0))),0,1)</f>
        <v>0</v>
      </c>
      <c r="S7" s="63">
        <f t="shared" si="0"/>
      </c>
      <c r="T7" s="63">
        <f t="shared" si="1"/>
      </c>
      <c r="U7" s="5">
        <f t="shared" si="2"/>
        <v>9</v>
      </c>
      <c r="V7" s="5" t="s">
        <v>154</v>
      </c>
      <c r="W7" s="5">
        <v>7</v>
      </c>
    </row>
    <row r="8" spans="1:23" ht="39.75" customHeight="1">
      <c r="A8" s="370">
        <f>'1-2'!A8</f>
        <v>0</v>
      </c>
      <c r="B8" s="371" t="str">
        <f>'1-2'!B8</f>
        <v>1(1)イ</v>
      </c>
      <c r="C8" s="372" t="str">
        <f>'1-2'!C8</f>
        <v>アセスメント、自閉症、知的障がいの理解について研修に取り組む。</v>
      </c>
      <c r="D8" s="264">
        <v>5</v>
      </c>
      <c r="E8" s="315" t="str">
        <f>'2-2'!E8</f>
        <v>負担金、補助及び交付金</v>
      </c>
      <c r="F8" s="316" t="str">
        <f>'2-2'!F8</f>
        <v>養護教諭キャリアアップ研修会参加費</v>
      </c>
      <c r="G8" s="225">
        <f>'2-2'!G8</f>
        <v>4000</v>
      </c>
      <c r="H8" s="317">
        <f>'2-2'!H8</f>
        <v>1</v>
      </c>
      <c r="I8" s="317">
        <f>'2-2'!I8</f>
        <v>1</v>
      </c>
      <c r="J8" s="373">
        <f>'2-2'!J8</f>
        <v>4000</v>
      </c>
      <c r="K8" s="374" t="str">
        <f>'2-2'!K8</f>
        <v>養護教諭キャリアアップ研修会参加費</v>
      </c>
      <c r="L8" s="225">
        <f>'2-2'!L8</f>
        <v>4000</v>
      </c>
      <c r="M8" s="317">
        <f>'2-2'!M8</f>
        <v>1</v>
      </c>
      <c r="N8" s="317">
        <f>'2-2'!N8</f>
        <v>1</v>
      </c>
      <c r="O8" s="343">
        <f t="shared" si="3"/>
        <v>4000</v>
      </c>
      <c r="P8" s="375">
        <f>'2-2'!P8</f>
        <v>0</v>
      </c>
      <c r="Q8" s="376">
        <f>'2-2'!Q8</f>
        <v>0</v>
      </c>
      <c r="R8" s="25">
        <f>IF(AND(ISNA(MATCH($D8,'随時②-2'!$D$4:$D$18,0)),ISNA(MATCH($D8,'随時③-2'!$D$4:$D$47,0))),0,1)</f>
        <v>0</v>
      </c>
      <c r="S8" s="63">
        <f t="shared" si="0"/>
      </c>
      <c r="T8" s="63">
        <f t="shared" si="1"/>
      </c>
      <c r="U8" s="5">
        <f t="shared" si="2"/>
        <v>9</v>
      </c>
      <c r="V8" s="5" t="s">
        <v>155</v>
      </c>
      <c r="W8" s="5">
        <v>3</v>
      </c>
    </row>
    <row r="9" spans="1:23" ht="39.75" customHeight="1">
      <c r="A9" s="370">
        <f>'1-2'!A9</f>
        <v>0</v>
      </c>
      <c r="B9" s="371" t="str">
        <f>'1-2'!B9</f>
        <v>1(1)イ</v>
      </c>
      <c r="C9" s="372" t="str">
        <f>'1-2'!C9</f>
        <v>アセスメント、自閉症、知的障がいの理解について研修に取り組む。</v>
      </c>
      <c r="D9" s="255">
        <v>6</v>
      </c>
      <c r="E9" s="315" t="str">
        <f>'2-2'!E9</f>
        <v>報償費</v>
      </c>
      <c r="F9" s="316" t="str">
        <f>'2-2'!F9</f>
        <v>保護者対応研修会講師謝金（教員対象）</v>
      </c>
      <c r="G9" s="225">
        <f>'2-2'!G9</f>
        <v>20000</v>
      </c>
      <c r="H9" s="317">
        <f>'2-2'!H9</f>
        <v>1</v>
      </c>
      <c r="I9" s="317">
        <f>'2-2'!I9</f>
        <v>2</v>
      </c>
      <c r="J9" s="373">
        <f>'2-2'!J9</f>
        <v>40000</v>
      </c>
      <c r="K9" s="374" t="str">
        <f>'2-2'!K9</f>
        <v>保護者対応研修会講師謝金（教員対象）</v>
      </c>
      <c r="L9" s="225">
        <f>'2-2'!L9</f>
        <v>20000</v>
      </c>
      <c r="M9" s="317">
        <f>'2-2'!M9</f>
        <v>1</v>
      </c>
      <c r="N9" s="317">
        <f>'2-2'!N9</f>
        <v>2</v>
      </c>
      <c r="O9" s="343">
        <f t="shared" si="3"/>
        <v>40000</v>
      </c>
      <c r="P9" s="375">
        <f>'2-2'!P9</f>
        <v>0</v>
      </c>
      <c r="Q9" s="376">
        <f>'2-2'!Q9</f>
        <v>0</v>
      </c>
      <c r="R9" s="25">
        <f>IF(AND(ISNA(MATCH($D9,'随時②-2'!$D$4:$D$18,0)),ISNA(MATCH($D9,'随時③-2'!$D$4:$D$47,0))),0,1)</f>
        <v>0</v>
      </c>
      <c r="S9" s="63">
        <f t="shared" si="0"/>
      </c>
      <c r="T9" s="63">
        <f t="shared" si="1"/>
      </c>
      <c r="U9" s="5">
        <f t="shared" si="2"/>
        <v>1</v>
      </c>
      <c r="V9" s="5" t="s">
        <v>156</v>
      </c>
      <c r="W9" s="5">
        <v>8</v>
      </c>
    </row>
    <row r="10" spans="1:23" ht="39.75" customHeight="1">
      <c r="A10" s="370">
        <f>'1-2'!A10</f>
        <v>0</v>
      </c>
      <c r="B10" s="371" t="str">
        <f>'1-2'!B10</f>
        <v>1(1)イ</v>
      </c>
      <c r="C10" s="372" t="str">
        <f>'1-2'!C10</f>
        <v>アセスメント、自閉症、知的障がいの理解について研修に取り組む。</v>
      </c>
      <c r="D10" s="255">
        <v>7</v>
      </c>
      <c r="E10" s="315" t="str">
        <f>'2-2'!E10</f>
        <v>報償費</v>
      </c>
      <c r="F10" s="316" t="str">
        <f>'2-2'!F10</f>
        <v>支援教育研修会講師謝金（教員対象）</v>
      </c>
      <c r="G10" s="225">
        <f>'2-2'!G10</f>
        <v>52500</v>
      </c>
      <c r="H10" s="317">
        <f>'2-2'!H10</f>
        <v>2</v>
      </c>
      <c r="I10" s="317">
        <f>'2-2'!I10</f>
        <v>1</v>
      </c>
      <c r="J10" s="373">
        <f>'2-2'!J10</f>
        <v>105000</v>
      </c>
      <c r="K10" s="374" t="str">
        <f>'2-2'!K10</f>
        <v>支援教育研修会講師謝金（教員対象）</v>
      </c>
      <c r="L10" s="225">
        <f>'2-2'!L10</f>
        <v>27000</v>
      </c>
      <c r="M10" s="317">
        <f>'2-2'!M10</f>
        <v>2</v>
      </c>
      <c r="N10" s="317">
        <f>'2-2'!N10</f>
        <v>1</v>
      </c>
      <c r="O10" s="343">
        <f t="shared" si="3"/>
        <v>54000</v>
      </c>
      <c r="P10" s="375">
        <f>'2-2'!P10</f>
        <v>0</v>
      </c>
      <c r="Q10" s="376">
        <f>'2-2'!Q10</f>
        <v>0</v>
      </c>
      <c r="R10" s="25">
        <f>IF(AND(ISNA(MATCH($D10,'随時②-2'!$D$4:$D$18,0)),ISNA(MATCH($D10,'随時③-2'!$D$4:$D$47,0))),0,1)</f>
        <v>0</v>
      </c>
      <c r="S10" s="63">
        <f t="shared" si="0"/>
      </c>
      <c r="T10" s="63">
        <f t="shared" si="1"/>
      </c>
      <c r="U10" s="5">
        <f t="shared" si="2"/>
        <v>1</v>
      </c>
      <c r="V10" s="5" t="s">
        <v>160</v>
      </c>
      <c r="W10" s="5">
        <v>9</v>
      </c>
    </row>
    <row r="11" spans="1:23" ht="39.75" customHeight="1">
      <c r="A11" s="370">
        <f>'1-2'!A11</f>
        <v>0</v>
      </c>
      <c r="B11" s="371" t="str">
        <f>'1-2'!B11</f>
        <v>1(1)イ</v>
      </c>
      <c r="C11" s="372" t="str">
        <f>'1-2'!C11</f>
        <v>アセスメント、自閉症、知的障がいの理解について研修に取り組む。</v>
      </c>
      <c r="D11" s="264">
        <v>8</v>
      </c>
      <c r="E11" s="315" t="str">
        <f>'2-2'!E11</f>
        <v>旅費</v>
      </c>
      <c r="F11" s="316" t="str">
        <f>'2-2'!F11</f>
        <v>講師旅費</v>
      </c>
      <c r="G11" s="225">
        <f>'2-2'!G11</f>
        <v>50180</v>
      </c>
      <c r="H11" s="317">
        <f>'2-2'!H11</f>
        <v>1</v>
      </c>
      <c r="I11" s="317">
        <f>'2-2'!I11</f>
        <v>1</v>
      </c>
      <c r="J11" s="373">
        <f>'2-2'!J11</f>
        <v>50180</v>
      </c>
      <c r="K11" s="374" t="str">
        <f>'2-2'!K11</f>
        <v>講師旅費</v>
      </c>
      <c r="L11" s="225">
        <f>'2-2'!L11</f>
        <v>4240</v>
      </c>
      <c r="M11" s="317">
        <f>'2-2'!M11</f>
        <v>1</v>
      </c>
      <c r="N11" s="317">
        <f>'2-2'!N11</f>
        <v>1</v>
      </c>
      <c r="O11" s="343">
        <f t="shared" si="3"/>
        <v>4240</v>
      </c>
      <c r="P11" s="375">
        <f>'2-2'!P11</f>
        <v>0</v>
      </c>
      <c r="Q11" s="376">
        <f>'2-2'!Q11</f>
        <v>0</v>
      </c>
      <c r="R11" s="25">
        <f>IF(AND(ISNA(MATCH($D11,'随時②-2'!$D$4:$D$18,0)),ISNA(MATCH($D11,'随時③-2'!$D$4:$D$47,0))),0,1)</f>
        <v>0</v>
      </c>
      <c r="S11" s="63">
        <f t="shared" si="0"/>
      </c>
      <c r="T11" s="63">
        <f t="shared" si="1"/>
      </c>
      <c r="U11" s="5">
        <f t="shared" si="2"/>
        <v>2</v>
      </c>
      <c r="V11" s="5" t="s">
        <v>157</v>
      </c>
      <c r="W11" s="5">
        <v>1</v>
      </c>
    </row>
    <row r="12" spans="1:23" ht="39.75" customHeight="1">
      <c r="A12" s="370">
        <f>'1-2'!A12</f>
        <v>0</v>
      </c>
      <c r="B12" s="371" t="str">
        <f>'1-2'!B12</f>
        <v>1(1)ウ</v>
      </c>
      <c r="C12" s="372" t="str">
        <f>'1-2'!C12</f>
        <v>授業改善に取り組む。</v>
      </c>
      <c r="D12" s="264">
        <v>9</v>
      </c>
      <c r="E12" s="315" t="str">
        <f>'2-2'!E12</f>
        <v>消耗需用費</v>
      </c>
      <c r="F12" s="316" t="str">
        <f>'2-2'!F12</f>
        <v>授業用テレビ</v>
      </c>
      <c r="G12" s="225">
        <f>'2-2'!G12</f>
        <v>34000</v>
      </c>
      <c r="H12" s="317">
        <f>'2-2'!H12</f>
        <v>22</v>
      </c>
      <c r="I12" s="317">
        <f>'2-2'!I12</f>
        <v>1</v>
      </c>
      <c r="J12" s="373">
        <f>'2-2'!J12</f>
        <v>748000</v>
      </c>
      <c r="K12" s="374" t="str">
        <f>'2-2'!K12</f>
        <v>授業用テレビ</v>
      </c>
      <c r="L12" s="225">
        <f>'2-2'!L12</f>
        <v>0</v>
      </c>
      <c r="M12" s="317">
        <f>'2-2'!M12</f>
        <v>0</v>
      </c>
      <c r="N12" s="317">
        <f>'2-2'!N12</f>
        <v>1</v>
      </c>
      <c r="O12" s="343">
        <f t="shared" si="3"/>
        <v>0</v>
      </c>
      <c r="P12" s="375">
        <f>'2-2'!P12</f>
        <v>0</v>
      </c>
      <c r="Q12" s="376">
        <f>'2-2'!Q12</f>
        <v>0</v>
      </c>
      <c r="R12" s="25">
        <f>IF(AND(ISNA(MATCH($D12,'随時②-2'!$D$4:$D$18,0)),ISNA(MATCH($D12,'随時③-2'!$D$4:$D$47,0))),0,1)</f>
        <v>0</v>
      </c>
      <c r="S12" s="63">
        <f t="shared" si="0"/>
      </c>
      <c r="T12" s="63">
        <f t="shared" si="1"/>
      </c>
      <c r="U12" s="5">
        <f t="shared" si="2"/>
        <v>7</v>
      </c>
      <c r="V12" s="5" t="s">
        <v>158</v>
      </c>
      <c r="W12" s="5">
        <v>5</v>
      </c>
    </row>
    <row r="13" spans="1:23" ht="39.75" customHeight="1">
      <c r="A13" s="370">
        <f>'1-2'!A13</f>
        <v>0</v>
      </c>
      <c r="B13" s="371" t="str">
        <f>'1-2'!B13</f>
        <v>1(1)ウ</v>
      </c>
      <c r="C13" s="372" t="str">
        <f>'1-2'!C13</f>
        <v>授業改善に取り組む。</v>
      </c>
      <c r="D13" s="274">
        <v>10</v>
      </c>
      <c r="E13" s="315" t="str">
        <f>'2-2'!E13</f>
        <v>消耗需用費</v>
      </c>
      <c r="F13" s="316" t="str">
        <f>'2-2'!F13</f>
        <v>箱庭用具</v>
      </c>
      <c r="G13" s="225">
        <f>'2-2'!G13</f>
        <v>130000</v>
      </c>
      <c r="H13" s="317">
        <f>'2-2'!H13</f>
        <v>1</v>
      </c>
      <c r="I13" s="317">
        <f>'2-2'!I13</f>
        <v>1</v>
      </c>
      <c r="J13" s="373">
        <f>'2-2'!J13</f>
        <v>130000</v>
      </c>
      <c r="K13" s="374" t="str">
        <f>'2-2'!K13</f>
        <v>箱庭用具</v>
      </c>
      <c r="L13" s="225">
        <f>'2-2'!L13</f>
        <v>0</v>
      </c>
      <c r="M13" s="317">
        <f>'2-2'!M13</f>
        <v>1</v>
      </c>
      <c r="N13" s="317">
        <f>'2-2'!N13</f>
        <v>1</v>
      </c>
      <c r="O13" s="343">
        <f t="shared" si="3"/>
        <v>0</v>
      </c>
      <c r="P13" s="375">
        <f>'2-2'!P13</f>
        <v>0</v>
      </c>
      <c r="Q13" s="376">
        <f>'2-2'!Q13</f>
        <v>0</v>
      </c>
      <c r="R13" s="25">
        <f>IF(AND(ISNA(MATCH($D13,'随時②-2'!$D$4:$D$18,0)),ISNA(MATCH($D13,'随時③-2'!$D$4:$D$47,0))),0,1)</f>
        <v>0</v>
      </c>
      <c r="S13" s="63">
        <f t="shared" si="0"/>
      </c>
      <c r="T13" s="63">
        <f t="shared" si="1"/>
      </c>
      <c r="U13" s="5">
        <f t="shared" si="2"/>
        <v>7</v>
      </c>
      <c r="V13" s="5" t="s">
        <v>159</v>
      </c>
      <c r="W13" s="5">
        <v>2</v>
      </c>
    </row>
    <row r="14" spans="1:20" ht="39.75" customHeight="1">
      <c r="A14" s="370">
        <f>'2-4'!A4</f>
        <v>0</v>
      </c>
      <c r="B14" s="371" t="str">
        <f>'2-4'!B4</f>
        <v>1(1)ウ</v>
      </c>
      <c r="C14" s="372" t="str">
        <f>'2-4'!C4</f>
        <v>授業改善に取り組む。</v>
      </c>
      <c r="D14" s="264">
        <v>301</v>
      </c>
      <c r="E14" s="316" t="str">
        <f>IF($R14=1,"",VLOOKUP($D14,'2-4'!$D$4:$L$103,2))</f>
        <v>負担金、補助及び交付金</v>
      </c>
      <c r="F14" s="316" t="str">
        <f>IF($R14=1,"取消し",VLOOKUP($D14,'2-4'!$D$4:$L$103,3))</f>
        <v>各種団体負担金（会費）</v>
      </c>
      <c r="G14" s="225">
        <f>IF($R14=1,,VLOOKUP($D14,'2-4'!$D$4:$L$103,4))</f>
        <v>31920</v>
      </c>
      <c r="H14" s="317">
        <f>IF($R14=1,,VLOOKUP($D14,'2-4'!$D$4:$L$103,5))</f>
        <v>1</v>
      </c>
      <c r="I14" s="317">
        <f>IF($R14=1,,VLOOKUP($D14,'2-4'!$D$4:$L$103,6))</f>
        <v>1</v>
      </c>
      <c r="J14" s="225">
        <f>IF($R14=1,,VLOOKUP($D14,'2-4'!$D$4:$L$103,7))</f>
        <v>31920</v>
      </c>
      <c r="K14" s="340" t="str">
        <f>F14</f>
        <v>各種団体負担金（会費）</v>
      </c>
      <c r="L14" s="341">
        <v>21120</v>
      </c>
      <c r="M14" s="342">
        <f>H14</f>
        <v>1</v>
      </c>
      <c r="N14" s="342">
        <f>I14</f>
        <v>1</v>
      </c>
      <c r="O14" s="343">
        <f>L14*M14*N14</f>
        <v>21120</v>
      </c>
      <c r="P14" s="380">
        <f>IF($R14=1,"",VLOOKUP($D14,'2-4'!$D$4:$L$103,8))</f>
        <v>0</v>
      </c>
      <c r="Q14" s="280" t="s">
        <v>254</v>
      </c>
      <c r="R14" s="25">
        <f>IF(AND(ISNA(MATCH($D14,'随時②-2'!$D$4:$D$18,0)),ISNA(MATCH($D14,'随時③-2'!$D$4:$D$47,0))),0,1)</f>
        <v>0</v>
      </c>
      <c r="S14" s="63">
        <f>IF(P14="◎",J14,"")</f>
      </c>
      <c r="T14" s="63">
        <f>IF(P14="◎",O14,"")</f>
      </c>
    </row>
    <row r="15" spans="1:20" ht="39.75" customHeight="1">
      <c r="A15" s="377">
        <f>'2-4'!A5</f>
        <v>0</v>
      </c>
      <c r="B15" s="378" t="str">
        <f>'2-4'!B5</f>
        <v>1(1)ウ</v>
      </c>
      <c r="C15" s="379" t="str">
        <f>'2-4'!C5</f>
        <v>授業改善に取り組む。</v>
      </c>
      <c r="D15" s="255">
        <v>302</v>
      </c>
      <c r="E15" s="316" t="str">
        <f>IF($R15=1,"",VLOOKUP($D15,'2-4'!$D$4:$L$103,2))</f>
        <v>負担金、補助及び交付金</v>
      </c>
      <c r="F15" s="316" t="str">
        <f>IF($R15=1,"取消し",VLOOKUP($D15,'2-4'!$D$4:$L$103,3))</f>
        <v>自閉症スペクトラム症への認知発達治療参加費</v>
      </c>
      <c r="G15" s="225">
        <f>IF($R15=1,,VLOOKUP($D15,'2-4'!$D$4:$L$103,4))</f>
        <v>8000</v>
      </c>
      <c r="H15" s="317">
        <f>IF($R15=1,,VLOOKUP($D15,'2-4'!$D$4:$L$103,5))</f>
        <v>1</v>
      </c>
      <c r="I15" s="317">
        <f>IF($R15=1,,VLOOKUP($D15,'2-4'!$D$4:$L$103,6))</f>
        <v>1</v>
      </c>
      <c r="J15" s="225">
        <f>IF($R15=1,,VLOOKUP($D15,'2-4'!$D$4:$L$103,7))</f>
        <v>8000</v>
      </c>
      <c r="K15" s="319" t="str">
        <f>F15</f>
        <v>自閉症スペクトラム症への認知発達治療参加費</v>
      </c>
      <c r="L15" s="320">
        <v>0</v>
      </c>
      <c r="M15" s="321">
        <f>H15</f>
        <v>1</v>
      </c>
      <c r="N15" s="321">
        <f>I15</f>
        <v>1</v>
      </c>
      <c r="O15" s="310">
        <f>L15*M15*N15</f>
        <v>0</v>
      </c>
      <c r="P15" s="380">
        <f>IF($R15=1,"",VLOOKUP($D15,'2-4'!$D$4:$L$103,8))</f>
        <v>0</v>
      </c>
      <c r="Q15" s="280">
        <f>IF($R15=1,"",VLOOKUP($D15,'2-4'!$D$4:$L$103,9))</f>
        <v>0</v>
      </c>
      <c r="R15" s="25">
        <f>IF(AND(ISNA(MATCH($D15,'随時②-2'!$D$4:$D$18,0)),ISNA(MATCH($D15,'随時③-2'!$D$4:$D$47,0))),0,1)</f>
        <v>0</v>
      </c>
      <c r="S15" s="63">
        <f>IF(P15="◎",J15,"")</f>
      </c>
      <c r="T15" s="63">
        <f>IF(P15="◎",O15,"")</f>
      </c>
    </row>
    <row r="16" spans="1:20" ht="39.75" customHeight="1">
      <c r="A16" s="377">
        <f>'随時③-2'!A53</f>
        <v>0</v>
      </c>
      <c r="B16" s="378" t="str">
        <f>'随時③-2'!B50</f>
        <v>1(1)ウ</v>
      </c>
      <c r="C16" s="379" t="str">
        <f>'随時③-2'!C50</f>
        <v>授業改善に取り組む。</v>
      </c>
      <c r="D16" s="255">
        <v>401</v>
      </c>
      <c r="E16" s="315" t="str">
        <f>'随時③-2'!E50</f>
        <v>消耗需用費</v>
      </c>
      <c r="F16" s="315" t="str">
        <f>'随時③-2'!F50</f>
        <v>トナーカートリッジ</v>
      </c>
      <c r="G16" s="322">
        <f>'随時③-2'!G50</f>
        <v>5556</v>
      </c>
      <c r="H16" s="323">
        <f>'随時③-2'!H50</f>
        <v>9</v>
      </c>
      <c r="I16" s="323">
        <f>'随時③-2'!I50</f>
        <v>1</v>
      </c>
      <c r="J16" s="382">
        <f aca="true" t="shared" si="4" ref="J16:J26">G16*H16*I16</f>
        <v>50004</v>
      </c>
      <c r="K16" s="319" t="str">
        <f aca="true" t="shared" si="5" ref="K16:K26">F16</f>
        <v>トナーカートリッジ</v>
      </c>
      <c r="L16" s="320">
        <v>5292</v>
      </c>
      <c r="M16" s="321">
        <v>7</v>
      </c>
      <c r="N16" s="321">
        <f aca="true" t="shared" si="6" ref="N16:N26">I16</f>
        <v>1</v>
      </c>
      <c r="O16" s="310">
        <f aca="true" t="shared" si="7" ref="O16:O26">L16*M16*N16</f>
        <v>37044</v>
      </c>
      <c r="P16" s="311">
        <f>'随時③-2'!K50</f>
        <v>0</v>
      </c>
      <c r="Q16" s="312" t="str">
        <f>'随時③-2'!L50</f>
        <v>306の減額再掲</v>
      </c>
      <c r="R16" s="25">
        <f>IF(AND(ISNA(MATCH($D16,'随時②-2'!$D$4:$D$18,0)),ISNA(MATCH($D16,'随時③-2'!$D$4:$D$47,0))),0,1)</f>
        <v>0</v>
      </c>
      <c r="S16" s="63">
        <f aca="true" t="shared" si="8" ref="S16:S26">IF(P16="◎",J16,"")</f>
      </c>
      <c r="T16" s="63">
        <f aca="true" t="shared" si="9" ref="T16:T26">IF(P16="◎",O16,"")</f>
      </c>
    </row>
    <row r="17" spans="1:20" ht="39.75" customHeight="1">
      <c r="A17" s="377">
        <f>'随時③-2'!A54</f>
        <v>0</v>
      </c>
      <c r="B17" s="378" t="str">
        <f>'随時③-2'!B51</f>
        <v>1(1)ウ</v>
      </c>
      <c r="C17" s="379" t="str">
        <f>'随時③-2'!C51</f>
        <v>授業改善に取り組む。</v>
      </c>
      <c r="D17" s="255">
        <v>402</v>
      </c>
      <c r="E17" s="315" t="str">
        <f>'随時③-2'!E51</f>
        <v>消耗需用費</v>
      </c>
      <c r="F17" s="315" t="str">
        <f>'随時③-2'!F51</f>
        <v>リサイクルトナーカートリッジ</v>
      </c>
      <c r="G17" s="322">
        <f>'随時③-2'!G51</f>
        <v>3186</v>
      </c>
      <c r="H17" s="323">
        <f>'随時③-2'!H51</f>
        <v>18</v>
      </c>
      <c r="I17" s="323">
        <f>'随時③-2'!I51</f>
        <v>1</v>
      </c>
      <c r="J17" s="382">
        <f t="shared" si="4"/>
        <v>57348</v>
      </c>
      <c r="K17" s="319" t="str">
        <f t="shared" si="5"/>
        <v>リサイクルトナーカートリッジ</v>
      </c>
      <c r="L17" s="320">
        <v>3186</v>
      </c>
      <c r="M17" s="321">
        <v>18</v>
      </c>
      <c r="N17" s="321">
        <v>1</v>
      </c>
      <c r="O17" s="310">
        <f t="shared" si="7"/>
        <v>57348</v>
      </c>
      <c r="P17" s="311">
        <f>'随時③-2'!K51</f>
        <v>0</v>
      </c>
      <c r="Q17" s="312" t="str">
        <f>'随時③-2'!L51</f>
        <v>307の増額再掲</v>
      </c>
      <c r="R17" s="25">
        <f>IF(AND(ISNA(MATCH($D17,'随時②-2'!$D$4:$D$18,0)),ISNA(MATCH($D17,'随時③-2'!$D$4:$D$47,0))),0,1)</f>
        <v>0</v>
      </c>
      <c r="S17" s="63">
        <f t="shared" si="8"/>
      </c>
      <c r="T17" s="63">
        <f t="shared" si="9"/>
      </c>
    </row>
    <row r="18" spans="1:20" ht="39.75" customHeight="1">
      <c r="A18" s="370">
        <f>'随時③-2'!A55</f>
        <v>0</v>
      </c>
      <c r="B18" s="371" t="str">
        <f>'随時③-2'!B52</f>
        <v>1(1)ウ</v>
      </c>
      <c r="C18" s="372" t="str">
        <f>'随時③-2'!C52</f>
        <v>授業改善に取り組む。</v>
      </c>
      <c r="D18" s="255">
        <v>403</v>
      </c>
      <c r="E18" s="315" t="str">
        <f>'随時③-2'!E52</f>
        <v>消耗需用費</v>
      </c>
      <c r="F18" s="316" t="str">
        <f>'随時③-2'!F52</f>
        <v>無線LAN子機単体</v>
      </c>
      <c r="G18" s="225">
        <f>'随時③-2'!G52</f>
        <v>3672</v>
      </c>
      <c r="H18" s="317">
        <f>'随時③-2'!H52</f>
        <v>7</v>
      </c>
      <c r="I18" s="317">
        <f>'随時③-2'!I52</f>
        <v>1</v>
      </c>
      <c r="J18" s="382">
        <f t="shared" si="4"/>
        <v>25704</v>
      </c>
      <c r="K18" s="319" t="str">
        <f t="shared" si="5"/>
        <v>無線LAN子機単体</v>
      </c>
      <c r="L18" s="320">
        <v>2667.6</v>
      </c>
      <c r="M18" s="321">
        <f aca="true" t="shared" si="10" ref="M18:M26">H18</f>
        <v>7</v>
      </c>
      <c r="N18" s="321">
        <f t="shared" si="6"/>
        <v>1</v>
      </c>
      <c r="O18" s="310">
        <f t="shared" si="7"/>
        <v>18673.2</v>
      </c>
      <c r="P18" s="344">
        <f>'随時③-2'!K52</f>
        <v>0</v>
      </c>
      <c r="Q18" s="345" t="str">
        <f>'随時③-2'!L52</f>
        <v>308の増額再掲</v>
      </c>
      <c r="R18" s="25">
        <f>IF(AND(ISNA(MATCH($D18,'随時②-2'!$D$4:$D$18,0)),ISNA(MATCH($D18,'随時③-2'!$D$4:$D$47,0))),0,1)</f>
        <v>0</v>
      </c>
      <c r="S18" s="63">
        <f t="shared" si="8"/>
      </c>
      <c r="T18" s="63">
        <f t="shared" si="9"/>
      </c>
    </row>
    <row r="19" spans="1:20" ht="39.75" customHeight="1">
      <c r="A19" s="370">
        <f>'随時③-2'!A56</f>
        <v>0</v>
      </c>
      <c r="B19" s="371" t="str">
        <f>'随時③-2'!B53</f>
        <v>1(1)ウ</v>
      </c>
      <c r="C19" s="372" t="str">
        <f>'随時③-2'!C53</f>
        <v>授業改善に取り組む。</v>
      </c>
      <c r="D19" s="255">
        <v>404</v>
      </c>
      <c r="E19" s="315" t="str">
        <f>'随時③-2'!E53</f>
        <v>消耗需用費</v>
      </c>
      <c r="F19" s="316" t="str">
        <f>'随時③-2'!F53</f>
        <v>音楽用 CD-R 20枚　</v>
      </c>
      <c r="G19" s="225">
        <f>'随時③-2'!G53</f>
        <v>1404</v>
      </c>
      <c r="H19" s="317">
        <f>'随時③-2'!H53</f>
        <v>1</v>
      </c>
      <c r="I19" s="317">
        <f>'随時③-2'!I53</f>
        <v>1</v>
      </c>
      <c r="J19" s="382">
        <f t="shared" si="4"/>
        <v>1404</v>
      </c>
      <c r="K19" s="319" t="str">
        <f t="shared" si="5"/>
        <v>音楽用 CD-R 20枚　</v>
      </c>
      <c r="L19" s="320">
        <v>1339.2</v>
      </c>
      <c r="M19" s="321">
        <f t="shared" si="10"/>
        <v>1</v>
      </c>
      <c r="N19" s="321">
        <f t="shared" si="6"/>
        <v>1</v>
      </c>
      <c r="O19" s="310">
        <f t="shared" si="7"/>
        <v>1339.2</v>
      </c>
      <c r="P19" s="344">
        <f>'随時③-2'!K53</f>
        <v>0</v>
      </c>
      <c r="Q19" s="345" t="str">
        <f>'随時③-2'!L53</f>
        <v>309の増額再掲</v>
      </c>
      <c r="R19" s="25">
        <f>IF(AND(ISNA(MATCH($D19,'随時②-2'!$D$4:$D$18,0)),ISNA(MATCH($D19,'随時③-2'!$D$4:$D$47,0))),0,1)</f>
        <v>0</v>
      </c>
      <c r="S19" s="63">
        <f t="shared" si="8"/>
      </c>
      <c r="T19" s="63">
        <f t="shared" si="9"/>
      </c>
    </row>
    <row r="20" spans="1:20" ht="39.75" customHeight="1">
      <c r="A20" s="370">
        <f>'随時③-2'!A57</f>
        <v>0</v>
      </c>
      <c r="B20" s="371" t="str">
        <f>'随時③-2'!B54</f>
        <v>1(1)ウ</v>
      </c>
      <c r="C20" s="372" t="str">
        <f>'随時③-2'!C54</f>
        <v>授業改善に取り組む。</v>
      </c>
      <c r="D20" s="255">
        <v>405</v>
      </c>
      <c r="E20" s="315" t="str">
        <f>'随時③-2'!E54</f>
        <v>消耗需用費</v>
      </c>
      <c r="F20" s="316" t="str">
        <f>'随時③-2'!F54</f>
        <v>コンパクトデジタルカメラ</v>
      </c>
      <c r="G20" s="225">
        <f>'随時③-2'!G54</f>
        <v>22000</v>
      </c>
      <c r="H20" s="317">
        <f>'随時③-2'!H54</f>
        <v>4</v>
      </c>
      <c r="I20" s="317">
        <f>'随時③-2'!I54</f>
        <v>1</v>
      </c>
      <c r="J20" s="382">
        <f t="shared" si="4"/>
        <v>88000</v>
      </c>
      <c r="K20" s="319" t="str">
        <f t="shared" si="5"/>
        <v>コンパクトデジタルカメラ</v>
      </c>
      <c r="L20" s="320">
        <v>20790</v>
      </c>
      <c r="M20" s="321">
        <f t="shared" si="10"/>
        <v>4</v>
      </c>
      <c r="N20" s="321">
        <f t="shared" si="6"/>
        <v>1</v>
      </c>
      <c r="O20" s="310">
        <f t="shared" si="7"/>
        <v>83160</v>
      </c>
      <c r="P20" s="344">
        <f>'随時③-2'!K54</f>
        <v>0</v>
      </c>
      <c r="Q20" s="345" t="str">
        <f>'随時③-2'!L54</f>
        <v>310の増額再掲</v>
      </c>
      <c r="R20" s="25">
        <f>IF(AND(ISNA(MATCH($D20,'随時②-2'!$D$4:$D$18,0)),ISNA(MATCH($D20,'随時③-2'!$D$4:$D$47,0))),0,1)</f>
        <v>0</v>
      </c>
      <c r="S20" s="63">
        <f t="shared" si="8"/>
      </c>
      <c r="T20" s="63">
        <f t="shared" si="9"/>
      </c>
    </row>
    <row r="21" spans="1:20" ht="39.75" customHeight="1">
      <c r="A21" s="370">
        <f>'随時③-2'!A58</f>
        <v>0</v>
      </c>
      <c r="B21" s="371" t="str">
        <f>'随時③-2'!B55</f>
        <v>1(1)ウ</v>
      </c>
      <c r="C21" s="372" t="str">
        <f>'随時③-2'!C55</f>
        <v>授業改善に取り組む。</v>
      </c>
      <c r="D21" s="255">
        <v>406</v>
      </c>
      <c r="E21" s="315" t="str">
        <f>'随時③-2'!E55</f>
        <v>消耗需用費</v>
      </c>
      <c r="F21" s="316" t="str">
        <f>'随時③-2'!F55</f>
        <v>ワイヤレスマイク</v>
      </c>
      <c r="G21" s="225">
        <f>'随時③-2'!G55</f>
        <v>28080</v>
      </c>
      <c r="H21" s="317">
        <f>'随時③-2'!H55</f>
        <v>1</v>
      </c>
      <c r="I21" s="317">
        <f>'随時③-2'!I55</f>
        <v>1</v>
      </c>
      <c r="J21" s="382">
        <f t="shared" si="4"/>
        <v>28080</v>
      </c>
      <c r="K21" s="319" t="str">
        <f t="shared" si="5"/>
        <v>ワイヤレスマイク</v>
      </c>
      <c r="L21" s="320">
        <v>24008</v>
      </c>
      <c r="M21" s="321">
        <f t="shared" si="10"/>
        <v>1</v>
      </c>
      <c r="N21" s="321">
        <f t="shared" si="6"/>
        <v>1</v>
      </c>
      <c r="O21" s="310">
        <f t="shared" si="7"/>
        <v>24008</v>
      </c>
      <c r="P21" s="344">
        <f>'随時③-2'!K55</f>
        <v>0</v>
      </c>
      <c r="Q21" s="345" t="str">
        <f>'随時③-2'!L55</f>
        <v>311の増額再掲</v>
      </c>
      <c r="R21" s="25">
        <f>IF(AND(ISNA(MATCH($D21,'随時②-2'!$D$4:$D$18,0)),ISNA(MATCH($D21,'随時③-2'!$D$4:$D$47,0))),0,1)</f>
        <v>0</v>
      </c>
      <c r="S21" s="63">
        <f t="shared" si="8"/>
      </c>
      <c r="T21" s="63">
        <f t="shared" si="9"/>
      </c>
    </row>
    <row r="22" spans="1:20" ht="39.75" customHeight="1">
      <c r="A22" s="370">
        <f>'随時③-2'!A59</f>
        <v>0</v>
      </c>
      <c r="B22" s="371" t="str">
        <f>'随時③-2'!B56</f>
        <v>1(1)ウ</v>
      </c>
      <c r="C22" s="372" t="str">
        <f>'随時③-2'!C56</f>
        <v>授業改善に取り組む。</v>
      </c>
      <c r="D22" s="255">
        <v>407</v>
      </c>
      <c r="E22" s="315" t="str">
        <f>'随時③-2'!E56</f>
        <v>消耗需用費</v>
      </c>
      <c r="F22" s="316" t="str">
        <f>'随時③-2'!F56</f>
        <v>Lightning Digital AV アダプター</v>
      </c>
      <c r="G22" s="225">
        <f>'随時③-2'!G56</f>
        <v>5616</v>
      </c>
      <c r="H22" s="317">
        <f>'随時③-2'!H56</f>
        <v>5</v>
      </c>
      <c r="I22" s="317">
        <f>'随時③-2'!I56</f>
        <v>1</v>
      </c>
      <c r="J22" s="382">
        <f t="shared" si="4"/>
        <v>28080</v>
      </c>
      <c r="K22" s="319" t="str">
        <f t="shared" si="5"/>
        <v>Lightning Digital AV アダプター</v>
      </c>
      <c r="L22" s="320">
        <v>5054.4</v>
      </c>
      <c r="M22" s="321">
        <f t="shared" si="10"/>
        <v>5</v>
      </c>
      <c r="N22" s="321">
        <f t="shared" si="6"/>
        <v>1</v>
      </c>
      <c r="O22" s="310">
        <f t="shared" si="7"/>
        <v>25272</v>
      </c>
      <c r="P22" s="344">
        <f>'随時③-2'!K56</f>
        <v>0</v>
      </c>
      <c r="Q22" s="345" t="str">
        <f>'随時③-2'!L56</f>
        <v>312の増額再掲</v>
      </c>
      <c r="R22" s="25">
        <f>IF(AND(ISNA(MATCH($D22,'随時②-2'!$D$4:$D$18,0)),ISNA(MATCH($D22,'随時③-2'!$D$4:$D$47,0))),0,1)</f>
        <v>0</v>
      </c>
      <c r="S22" s="63">
        <f t="shared" si="8"/>
      </c>
      <c r="T22" s="63">
        <f t="shared" si="9"/>
      </c>
    </row>
    <row r="23" spans="1:20" ht="39.75" customHeight="1">
      <c r="A23" s="370">
        <f>'随時③-2'!A60</f>
        <v>0</v>
      </c>
      <c r="B23" s="371" t="str">
        <f>'随時③-2'!B57</f>
        <v>1(1)ウ</v>
      </c>
      <c r="C23" s="372" t="str">
        <f>'随時③-2'!C57</f>
        <v>授業改善に取り組む。</v>
      </c>
      <c r="D23" s="255">
        <v>408</v>
      </c>
      <c r="E23" s="315" t="str">
        <f>'随時③-2'!E57</f>
        <v>消耗需用費</v>
      </c>
      <c r="F23" s="316" t="str">
        <f>'随時③-2'!F57</f>
        <v>ビデオカメラ用 広角 0.6倍 ワイドコンバージョンレンズ</v>
      </c>
      <c r="G23" s="225">
        <f>'随時③-2'!G57</f>
        <v>5000</v>
      </c>
      <c r="H23" s="317">
        <f>'随時③-2'!H57</f>
        <v>1</v>
      </c>
      <c r="I23" s="317">
        <f>'随時③-2'!I57</f>
        <v>1</v>
      </c>
      <c r="J23" s="382">
        <f t="shared" si="4"/>
        <v>5000</v>
      </c>
      <c r="K23" s="319" t="str">
        <f t="shared" si="5"/>
        <v>ビデオカメラ用 広角 0.6倍 ワイドコンバージョンレンズ</v>
      </c>
      <c r="L23" s="320">
        <v>3866</v>
      </c>
      <c r="M23" s="321">
        <f t="shared" si="10"/>
        <v>1</v>
      </c>
      <c r="N23" s="321">
        <f t="shared" si="6"/>
        <v>1</v>
      </c>
      <c r="O23" s="310">
        <f t="shared" si="7"/>
        <v>3866</v>
      </c>
      <c r="P23" s="344">
        <f>'随時③-2'!K57</f>
        <v>0</v>
      </c>
      <c r="Q23" s="345" t="str">
        <f>'随時③-2'!L57</f>
        <v>313の増額再掲</v>
      </c>
      <c r="R23" s="25">
        <f>IF(AND(ISNA(MATCH($D23,'随時②-2'!$D$4:$D$18,0)),ISNA(MATCH($D23,'随時③-2'!$D$4:$D$47,0))),0,1)</f>
        <v>0</v>
      </c>
      <c r="S23" s="63">
        <f t="shared" si="8"/>
      </c>
      <c r="T23" s="63">
        <f t="shared" si="9"/>
      </c>
    </row>
    <row r="24" spans="1:20" ht="39.75" customHeight="1">
      <c r="A24" s="370">
        <f>'随時③-2'!A61</f>
        <v>0</v>
      </c>
      <c r="B24" s="371" t="str">
        <f>'随時③-2'!B58</f>
        <v>1(1)ウ</v>
      </c>
      <c r="C24" s="372" t="str">
        <f>'随時③-2'!C58</f>
        <v>授業改善に取り組む。</v>
      </c>
      <c r="D24" s="255">
        <v>409</v>
      </c>
      <c r="E24" s="315" t="str">
        <f>'随時③-2'!E58</f>
        <v>消耗需用費</v>
      </c>
      <c r="F24" s="316" t="str">
        <f>'随時③-2'!F58</f>
        <v>iPadカバー (iPadM iPad Retina)</v>
      </c>
      <c r="G24" s="225">
        <f>'随時③-2'!G58</f>
        <v>770</v>
      </c>
      <c r="H24" s="317">
        <f>'随時③-2'!H58</f>
        <v>1</v>
      </c>
      <c r="I24" s="317">
        <f>'随時③-2'!I58</f>
        <v>1</v>
      </c>
      <c r="J24" s="382">
        <f t="shared" si="4"/>
        <v>770</v>
      </c>
      <c r="K24" s="319" t="str">
        <f t="shared" si="5"/>
        <v>iPadカバー (iPadM iPad Retina)</v>
      </c>
      <c r="L24" s="320">
        <v>0</v>
      </c>
      <c r="M24" s="321">
        <v>0</v>
      </c>
      <c r="N24" s="321">
        <v>0</v>
      </c>
      <c r="O24" s="310">
        <f t="shared" si="7"/>
        <v>0</v>
      </c>
      <c r="P24" s="344">
        <f>'随時③-2'!K58</f>
        <v>0</v>
      </c>
      <c r="Q24" s="345" t="str">
        <f>'随時③-2'!L58</f>
        <v>314の減額再掲</v>
      </c>
      <c r="R24" s="25">
        <f>IF(AND(ISNA(MATCH($D24,'随時②-2'!$D$4:$D$18,0)),ISNA(MATCH($D24,'随時③-2'!$D$4:$D$47,0))),0,1)</f>
        <v>0</v>
      </c>
      <c r="S24" s="63">
        <f t="shared" si="8"/>
      </c>
      <c r="T24" s="63">
        <f t="shared" si="9"/>
      </c>
    </row>
    <row r="25" spans="1:20" ht="39.75" customHeight="1">
      <c r="A25" s="370">
        <f>'随時③-2'!A62</f>
        <v>0</v>
      </c>
      <c r="B25" s="371" t="str">
        <f>'随時③-2'!B59</f>
        <v>1(1)ウ</v>
      </c>
      <c r="C25" s="372" t="str">
        <f>'随時③-2'!C59</f>
        <v>授業改善に取り組む。</v>
      </c>
      <c r="D25" s="255">
        <v>410</v>
      </c>
      <c r="E25" s="315" t="str">
        <f>'随時③-2'!E59</f>
        <v>消耗需用費</v>
      </c>
      <c r="F25" s="316" t="str">
        <f>'随時③-2'!F59</f>
        <v>iPadカバー（iPadK iPad2)</v>
      </c>
      <c r="G25" s="225">
        <f>'随時③-2'!G59</f>
        <v>1500</v>
      </c>
      <c r="H25" s="317">
        <f>'随時③-2'!H59</f>
        <v>4</v>
      </c>
      <c r="I25" s="317">
        <f>'随時③-2'!I59</f>
        <v>1</v>
      </c>
      <c r="J25" s="382">
        <f t="shared" si="4"/>
        <v>6000</v>
      </c>
      <c r="K25" s="319" t="str">
        <f t="shared" si="5"/>
        <v>iPadカバー（iPadK iPad2)</v>
      </c>
      <c r="L25" s="320"/>
      <c r="M25" s="321">
        <v>0</v>
      </c>
      <c r="N25" s="321">
        <v>0</v>
      </c>
      <c r="O25" s="310">
        <f t="shared" si="7"/>
        <v>0</v>
      </c>
      <c r="P25" s="344">
        <f>'随時③-2'!K59</f>
        <v>0</v>
      </c>
      <c r="Q25" s="345" t="str">
        <f>'随時③-2'!L59</f>
        <v>315の増額再掲</v>
      </c>
      <c r="R25" s="25">
        <f>IF(AND(ISNA(MATCH($D25,'随時②-2'!$D$4:$D$18,0)),ISNA(MATCH($D25,'随時③-2'!$D$4:$D$47,0))),0,1)</f>
        <v>0</v>
      </c>
      <c r="S25" s="63">
        <f t="shared" si="8"/>
      </c>
      <c r="T25" s="63">
        <f t="shared" si="9"/>
      </c>
    </row>
    <row r="26" spans="1:20" ht="39.75" customHeight="1">
      <c r="A26" s="370">
        <f>'随時③-2'!A63</f>
        <v>0</v>
      </c>
      <c r="B26" s="371" t="str">
        <f>'随時③-2'!B60</f>
        <v>1(1)ウ</v>
      </c>
      <c r="C26" s="372" t="str">
        <f>'随時③-2'!C60</f>
        <v>授業改善に取り組む。</v>
      </c>
      <c r="D26" s="255">
        <v>411</v>
      </c>
      <c r="E26" s="315" t="str">
        <f>'随時③-2'!E60</f>
        <v>消耗需用費</v>
      </c>
      <c r="F26" s="316" t="str">
        <f>'随時③-2'!F60</f>
        <v>カードリーダー</v>
      </c>
      <c r="G26" s="225">
        <f>'随時③-2'!G60</f>
        <v>3780</v>
      </c>
      <c r="H26" s="317">
        <f>'随時③-2'!H60</f>
        <v>2</v>
      </c>
      <c r="I26" s="317">
        <f>'随時③-2'!I60</f>
        <v>1</v>
      </c>
      <c r="J26" s="382">
        <f t="shared" si="4"/>
        <v>7560</v>
      </c>
      <c r="K26" s="319" t="str">
        <f t="shared" si="5"/>
        <v>カードリーダー</v>
      </c>
      <c r="L26" s="320">
        <v>1803.6</v>
      </c>
      <c r="M26" s="321">
        <f t="shared" si="10"/>
        <v>2</v>
      </c>
      <c r="N26" s="321">
        <f t="shared" si="6"/>
        <v>1</v>
      </c>
      <c r="O26" s="310">
        <f t="shared" si="7"/>
        <v>3607.2</v>
      </c>
      <c r="P26" s="344">
        <f>'随時③-2'!K60</f>
        <v>0</v>
      </c>
      <c r="Q26" s="345" t="str">
        <f>'随時③-2'!L60</f>
        <v>316の増額再掲</v>
      </c>
      <c r="R26" s="25">
        <f>IF(AND(ISNA(MATCH($D26,'随時②-2'!$D$4:$D$18,0)),ISNA(MATCH($D26,'随時③-2'!$D$4:$D$47,0))),0,1)</f>
        <v>0</v>
      </c>
      <c r="S26" s="63">
        <f t="shared" si="8"/>
      </c>
      <c r="T26" s="63">
        <f t="shared" si="9"/>
      </c>
    </row>
    <row r="27" spans="1:20" ht="39.75" customHeight="1">
      <c r="A27" s="370"/>
      <c r="B27" s="371" t="str">
        <f>'随時③-2'!B61</f>
        <v>1(1)ウ</v>
      </c>
      <c r="C27" s="372" t="str">
        <f>'随時③-2'!C61</f>
        <v>授業改善に取り組む。</v>
      </c>
      <c r="D27" s="255">
        <v>412</v>
      </c>
      <c r="E27" s="315" t="str">
        <f>'随時③-2'!E61</f>
        <v>消耗需用費</v>
      </c>
      <c r="F27" s="316" t="str">
        <f>'随時③-2'!F61</f>
        <v>高速無線ルーター </v>
      </c>
      <c r="G27" s="225">
        <f>'随時③-2'!G61</f>
        <v>23760</v>
      </c>
      <c r="H27" s="317">
        <f>'随時③-2'!H61</f>
        <v>1</v>
      </c>
      <c r="I27" s="317">
        <f>'随時③-2'!I61</f>
        <v>1</v>
      </c>
      <c r="J27" s="382">
        <f aca="true" t="shared" si="11" ref="J27:J37">G27*H27*I27</f>
        <v>23760</v>
      </c>
      <c r="K27" s="319" t="str">
        <f aca="true" t="shared" si="12" ref="K27:K37">F27</f>
        <v>高速無線ルーター </v>
      </c>
      <c r="L27" s="320">
        <v>28987</v>
      </c>
      <c r="M27" s="321">
        <f aca="true" t="shared" si="13" ref="M27:M37">H27</f>
        <v>1</v>
      </c>
      <c r="N27" s="321">
        <f aca="true" t="shared" si="14" ref="N27:N37">I27</f>
        <v>1</v>
      </c>
      <c r="O27" s="310">
        <f aca="true" t="shared" si="15" ref="O27:O37">L27*M27*N27</f>
        <v>28987</v>
      </c>
      <c r="P27" s="344">
        <f>'随時③-2'!K61</f>
        <v>0</v>
      </c>
      <c r="Q27" s="345" t="str">
        <f>'随時③-2'!L61</f>
        <v>317の増額再掲</v>
      </c>
      <c r="S27" s="63"/>
      <c r="T27" s="63"/>
    </row>
    <row r="28" spans="1:20" ht="39.75" customHeight="1">
      <c r="A28" s="370"/>
      <c r="B28" s="371" t="str">
        <f>'随時③-2'!B62</f>
        <v>1(1)ウ</v>
      </c>
      <c r="C28" s="372" t="str">
        <f>'随時③-2'!C62</f>
        <v>授業改善に取り組む。</v>
      </c>
      <c r="D28" s="255">
        <v>413</v>
      </c>
      <c r="E28" s="315" t="str">
        <f>'随時③-2'!E62</f>
        <v>消耗需用費</v>
      </c>
      <c r="F28" s="316" t="str">
        <f>'随時③-2'!F62</f>
        <v>高速無線ルーター</v>
      </c>
      <c r="G28" s="225">
        <f>'随時③-2'!G62</f>
        <v>34560</v>
      </c>
      <c r="H28" s="317">
        <f>'随時③-2'!H62</f>
        <v>1</v>
      </c>
      <c r="I28" s="317">
        <f>'随時③-2'!I62</f>
        <v>1</v>
      </c>
      <c r="J28" s="382">
        <f t="shared" si="11"/>
        <v>34560</v>
      </c>
      <c r="K28" s="319" t="str">
        <f t="shared" si="12"/>
        <v>高速無線ルーター</v>
      </c>
      <c r="L28" s="320">
        <v>35467</v>
      </c>
      <c r="M28" s="321">
        <f t="shared" si="13"/>
        <v>1</v>
      </c>
      <c r="N28" s="321">
        <f t="shared" si="14"/>
        <v>1</v>
      </c>
      <c r="O28" s="310">
        <f t="shared" si="15"/>
        <v>35467</v>
      </c>
      <c r="P28" s="344">
        <f>'随時③-2'!K62</f>
        <v>0</v>
      </c>
      <c r="Q28" s="345" t="str">
        <f>'随時③-2'!L62</f>
        <v>318の増額再掲</v>
      </c>
      <c r="S28" s="63"/>
      <c r="T28" s="63"/>
    </row>
    <row r="29" spans="1:20" ht="39.75" customHeight="1">
      <c r="A29" s="370"/>
      <c r="B29" s="371" t="str">
        <f>'随時③-2'!B63</f>
        <v>1(1)ウ</v>
      </c>
      <c r="C29" s="372" t="str">
        <f>'随時③-2'!C63</f>
        <v>授業改善に取り組む。</v>
      </c>
      <c r="D29" s="255">
        <v>414</v>
      </c>
      <c r="E29" s="315" t="str">
        <f>'随時③-2'!E63</f>
        <v>消耗需用費</v>
      </c>
      <c r="F29" s="316" t="str">
        <f>'随時③-2'!F63</f>
        <v>無線LAN ルーター 親機</v>
      </c>
      <c r="G29" s="225">
        <f>'随時③-2'!G63</f>
        <v>9180</v>
      </c>
      <c r="H29" s="317">
        <f>'随時③-2'!H63</f>
        <v>1</v>
      </c>
      <c r="I29" s="317">
        <f>'随時③-2'!I63</f>
        <v>1</v>
      </c>
      <c r="J29" s="382">
        <f t="shared" si="11"/>
        <v>9180</v>
      </c>
      <c r="K29" s="319" t="str">
        <f t="shared" si="12"/>
        <v>無線LAN ルーター 親機</v>
      </c>
      <c r="L29" s="320">
        <v>12398</v>
      </c>
      <c r="M29" s="321">
        <f t="shared" si="13"/>
        <v>1</v>
      </c>
      <c r="N29" s="321">
        <f t="shared" si="14"/>
        <v>1</v>
      </c>
      <c r="O29" s="310">
        <f t="shared" si="15"/>
        <v>12398</v>
      </c>
      <c r="P29" s="344">
        <f>'随時③-2'!K63</f>
        <v>0</v>
      </c>
      <c r="Q29" s="345" t="str">
        <f>'随時③-2'!L63</f>
        <v>319の増額再掲</v>
      </c>
      <c r="S29" s="63"/>
      <c r="T29" s="63"/>
    </row>
    <row r="30" spans="1:20" ht="39.75" customHeight="1">
      <c r="A30" s="370"/>
      <c r="B30" s="371" t="str">
        <f>'随時③-2'!B64</f>
        <v>1(1)ウ</v>
      </c>
      <c r="C30" s="372" t="str">
        <f>'随時③-2'!C64</f>
        <v>授業改善に取り組む。</v>
      </c>
      <c r="D30" s="255">
        <v>415</v>
      </c>
      <c r="E30" s="315" t="str">
        <f>'随時③-2'!E64</f>
        <v>消耗需用費</v>
      </c>
      <c r="F30" s="316" t="str">
        <f>'随時③-2'!F64</f>
        <v>ステレオミニプラグ　オーディオケーブル</v>
      </c>
      <c r="G30" s="225">
        <f>'随時③-2'!G64</f>
        <v>972</v>
      </c>
      <c r="H30" s="317">
        <f>'随時③-2'!H64</f>
        <v>1</v>
      </c>
      <c r="I30" s="317">
        <f>'随時③-2'!I64</f>
        <v>1</v>
      </c>
      <c r="J30" s="382">
        <f t="shared" si="11"/>
        <v>972</v>
      </c>
      <c r="K30" s="319" t="str">
        <f t="shared" si="12"/>
        <v>ステレオミニプラグ　オーディオケーブル</v>
      </c>
      <c r="L30" s="320">
        <v>356</v>
      </c>
      <c r="M30" s="321">
        <f t="shared" si="13"/>
        <v>1</v>
      </c>
      <c r="N30" s="321">
        <f t="shared" si="14"/>
        <v>1</v>
      </c>
      <c r="O30" s="310">
        <f t="shared" si="15"/>
        <v>356</v>
      </c>
      <c r="P30" s="344">
        <f>'随時③-2'!K64</f>
        <v>0</v>
      </c>
      <c r="Q30" s="345" t="str">
        <f>'随時③-2'!L64</f>
        <v>320の増額再掲</v>
      </c>
      <c r="S30" s="63"/>
      <c r="T30" s="63"/>
    </row>
    <row r="31" spans="1:20" ht="39.75" customHeight="1">
      <c r="A31" s="370"/>
      <c r="B31" s="371" t="str">
        <f>'随時③-2'!B65</f>
        <v>1(1)ウ</v>
      </c>
      <c r="C31" s="372" t="str">
        <f>'随時③-2'!C65</f>
        <v>授業改善に取り組む。</v>
      </c>
      <c r="D31" s="255">
        <v>416</v>
      </c>
      <c r="E31" s="315" t="str">
        <f>'随時③-2'!E65</f>
        <v>消耗需用費</v>
      </c>
      <c r="F31" s="316" t="str">
        <f>'随時③-2'!F65</f>
        <v>SDカード</v>
      </c>
      <c r="G31" s="225">
        <f>'随時③-2'!G65</f>
        <v>1100</v>
      </c>
      <c r="H31" s="317">
        <f>'随時③-2'!H65</f>
        <v>5</v>
      </c>
      <c r="I31" s="317">
        <f>'随時③-2'!I65</f>
        <v>1</v>
      </c>
      <c r="J31" s="382">
        <f t="shared" si="11"/>
        <v>5500</v>
      </c>
      <c r="K31" s="319" t="str">
        <f t="shared" si="12"/>
        <v>SDカード</v>
      </c>
      <c r="L31" s="320">
        <v>0</v>
      </c>
      <c r="M31" s="321">
        <v>0</v>
      </c>
      <c r="N31" s="321">
        <v>0</v>
      </c>
      <c r="O31" s="310">
        <f t="shared" si="15"/>
        <v>0</v>
      </c>
      <c r="P31" s="344">
        <f>'随時③-2'!K65</f>
        <v>0</v>
      </c>
      <c r="Q31" s="345" t="str">
        <f>'随時③-2'!L65</f>
        <v>321の増額再掲</v>
      </c>
      <c r="S31" s="63"/>
      <c r="T31" s="63"/>
    </row>
    <row r="32" spans="1:20" ht="39.75" customHeight="1">
      <c r="A32" s="370"/>
      <c r="B32" s="371" t="str">
        <f>'随時③-2'!B66</f>
        <v>1(1)ウ</v>
      </c>
      <c r="C32" s="372" t="str">
        <f>'随時③-2'!C66</f>
        <v>授業改善に取り組む。</v>
      </c>
      <c r="D32" s="255">
        <v>417</v>
      </c>
      <c r="E32" s="315" t="str">
        <f>'随時③-2'!E66</f>
        <v>消耗需用費</v>
      </c>
      <c r="F32" s="316" t="str">
        <f>'随時③-2'!F66</f>
        <v>SDカード</v>
      </c>
      <c r="G32" s="225">
        <f>'随時③-2'!G66</f>
        <v>3190</v>
      </c>
      <c r="H32" s="317">
        <f>'随時③-2'!H66</f>
        <v>3</v>
      </c>
      <c r="I32" s="317">
        <f>'随時③-2'!I66</f>
        <v>1</v>
      </c>
      <c r="J32" s="382">
        <f t="shared" si="11"/>
        <v>9570</v>
      </c>
      <c r="K32" s="319" t="str">
        <f t="shared" si="12"/>
        <v>SDカード</v>
      </c>
      <c r="L32" s="320"/>
      <c r="M32" s="321">
        <v>0</v>
      </c>
      <c r="N32" s="321">
        <v>0</v>
      </c>
      <c r="O32" s="310">
        <f t="shared" si="15"/>
        <v>0</v>
      </c>
      <c r="P32" s="344">
        <f>'随時③-2'!K66</f>
        <v>0</v>
      </c>
      <c r="Q32" s="345" t="str">
        <f>'随時③-2'!L66</f>
        <v>322の増額再掲</v>
      </c>
      <c r="S32" s="63"/>
      <c r="T32" s="63"/>
    </row>
    <row r="33" spans="1:20" ht="39.75" customHeight="1">
      <c r="A33" s="370"/>
      <c r="B33" s="371" t="str">
        <f>'随時③-2'!B67</f>
        <v>1(1)ウ</v>
      </c>
      <c r="C33" s="372" t="str">
        <f>'随時③-2'!C67</f>
        <v>授業改善に取り組む。</v>
      </c>
      <c r="D33" s="255">
        <v>418</v>
      </c>
      <c r="E33" s="315" t="str">
        <f>'随時③-2'!E67</f>
        <v>消耗需用費</v>
      </c>
      <c r="F33" s="316" t="str">
        <f>'随時③-2'!F67</f>
        <v>HDMI変換（延長）アダプタ15ピン</v>
      </c>
      <c r="G33" s="225">
        <f>'随時③-2'!G67</f>
        <v>2160</v>
      </c>
      <c r="H33" s="317">
        <f>'随時③-2'!H67</f>
        <v>1</v>
      </c>
      <c r="I33" s="317">
        <f>'随時③-2'!I67</f>
        <v>1</v>
      </c>
      <c r="J33" s="382">
        <f t="shared" si="11"/>
        <v>2160</v>
      </c>
      <c r="K33" s="319" t="str">
        <f t="shared" si="12"/>
        <v>HDMI変換（延長）アダプタ15ピン</v>
      </c>
      <c r="L33" s="320">
        <v>1501</v>
      </c>
      <c r="M33" s="321">
        <f t="shared" si="13"/>
        <v>1</v>
      </c>
      <c r="N33" s="321">
        <f t="shared" si="14"/>
        <v>1</v>
      </c>
      <c r="O33" s="310">
        <f t="shared" si="15"/>
        <v>1501</v>
      </c>
      <c r="P33" s="344">
        <f>'随時③-2'!K67</f>
        <v>0</v>
      </c>
      <c r="Q33" s="345" t="str">
        <f>'随時③-2'!L67</f>
        <v>323の増額再掲</v>
      </c>
      <c r="S33" s="63"/>
      <c r="T33" s="63"/>
    </row>
    <row r="34" spans="1:20" ht="39.75" customHeight="1">
      <c r="A34" s="370"/>
      <c r="B34" s="371" t="str">
        <f>'随時③-2'!B68</f>
        <v>1(1)ウ</v>
      </c>
      <c r="C34" s="372" t="str">
        <f>'随時③-2'!C68</f>
        <v>授業改善に取り組む。</v>
      </c>
      <c r="D34" s="255">
        <v>419</v>
      </c>
      <c r="E34" s="315" t="str">
        <f>'随時③-2'!E68</f>
        <v>消耗需用費</v>
      </c>
      <c r="F34" s="316" t="str">
        <f>'随時③-2'!F68</f>
        <v>BD-RE</v>
      </c>
      <c r="G34" s="225">
        <f>'随時③-2'!G68</f>
        <v>3240</v>
      </c>
      <c r="H34" s="317">
        <f>'随時③-2'!H68</f>
        <v>3</v>
      </c>
      <c r="I34" s="317">
        <f>'随時③-2'!I68</f>
        <v>1</v>
      </c>
      <c r="J34" s="382">
        <f t="shared" si="11"/>
        <v>9720</v>
      </c>
      <c r="K34" s="319" t="str">
        <f t="shared" si="12"/>
        <v>BD-RE</v>
      </c>
      <c r="L34" s="320">
        <v>1512</v>
      </c>
      <c r="M34" s="321">
        <f t="shared" si="13"/>
        <v>3</v>
      </c>
      <c r="N34" s="321">
        <f t="shared" si="14"/>
        <v>1</v>
      </c>
      <c r="O34" s="310">
        <f t="shared" si="15"/>
        <v>4536</v>
      </c>
      <c r="P34" s="344">
        <f>'随時③-2'!K68</f>
        <v>0</v>
      </c>
      <c r="Q34" s="345" t="str">
        <f>'随時③-2'!L68</f>
        <v>324の増額再掲</v>
      </c>
      <c r="S34" s="63"/>
      <c r="T34" s="63"/>
    </row>
    <row r="35" spans="1:20" ht="39.75" customHeight="1">
      <c r="A35" s="370"/>
      <c r="B35" s="371" t="str">
        <f>'随時③-2'!B69</f>
        <v>1(1)ウ</v>
      </c>
      <c r="C35" s="372" t="str">
        <f>'随時③-2'!C69</f>
        <v>授業改善に取り組む。</v>
      </c>
      <c r="D35" s="255">
        <v>420</v>
      </c>
      <c r="E35" s="315" t="str">
        <f>'随時③-2'!E69</f>
        <v>消耗需用費</v>
      </c>
      <c r="F35" s="316" t="str">
        <f>'随時③-2'!F69</f>
        <v>ノートPC</v>
      </c>
      <c r="G35" s="225">
        <f>'随時③-2'!G69</f>
        <v>43266</v>
      </c>
      <c r="H35" s="317">
        <f>'随時③-2'!H69</f>
        <v>2</v>
      </c>
      <c r="I35" s="317">
        <f>'随時③-2'!I69</f>
        <v>1</v>
      </c>
      <c r="J35" s="382">
        <f t="shared" si="11"/>
        <v>86532</v>
      </c>
      <c r="K35" s="319" t="str">
        <f t="shared" si="12"/>
        <v>ノートPC</v>
      </c>
      <c r="L35" s="320">
        <v>83657</v>
      </c>
      <c r="M35" s="321">
        <f t="shared" si="13"/>
        <v>2</v>
      </c>
      <c r="N35" s="321">
        <f t="shared" si="14"/>
        <v>1</v>
      </c>
      <c r="O35" s="310">
        <f t="shared" si="15"/>
        <v>167314</v>
      </c>
      <c r="P35" s="344">
        <f>'随時③-2'!K69</f>
        <v>0</v>
      </c>
      <c r="Q35" s="345" t="str">
        <f>'随時③-2'!L69</f>
        <v>325の増額再掲</v>
      </c>
      <c r="S35" s="63"/>
      <c r="T35" s="63"/>
    </row>
    <row r="36" spans="1:20" ht="39.75" customHeight="1">
      <c r="A36" s="370"/>
      <c r="B36" s="371" t="str">
        <f>'随時③-2'!B70</f>
        <v>1(1)ウ</v>
      </c>
      <c r="C36" s="372" t="str">
        <f>'随時③-2'!C70</f>
        <v>授業改善に取り組む。</v>
      </c>
      <c r="D36" s="255">
        <v>421</v>
      </c>
      <c r="E36" s="315" t="str">
        <f>'随時③-2'!E70</f>
        <v>消耗需用費</v>
      </c>
      <c r="F36" s="316" t="str">
        <f>'随時③-2'!F70</f>
        <v>ブルーレイ/DVDプレーヤー</v>
      </c>
      <c r="G36" s="225">
        <f>'随時③-2'!G70</f>
        <v>18630</v>
      </c>
      <c r="H36" s="317">
        <f>'随時③-2'!H70</f>
        <v>3</v>
      </c>
      <c r="I36" s="317">
        <f>'随時③-2'!I70</f>
        <v>1</v>
      </c>
      <c r="J36" s="382">
        <f t="shared" si="11"/>
        <v>55890</v>
      </c>
      <c r="K36" s="319" t="str">
        <f t="shared" si="12"/>
        <v>ブルーレイ/DVDプレーヤー</v>
      </c>
      <c r="L36" s="320">
        <v>11739.6</v>
      </c>
      <c r="M36" s="321">
        <f t="shared" si="13"/>
        <v>3</v>
      </c>
      <c r="N36" s="321">
        <f t="shared" si="14"/>
        <v>1</v>
      </c>
      <c r="O36" s="310">
        <f t="shared" si="15"/>
        <v>35218.8</v>
      </c>
      <c r="P36" s="344">
        <f>'随時③-2'!K70</f>
        <v>0</v>
      </c>
      <c r="Q36" s="345" t="str">
        <f>'随時③-2'!L70</f>
        <v>326の増額再掲</v>
      </c>
      <c r="S36" s="63"/>
      <c r="T36" s="63"/>
    </row>
    <row r="37" spans="1:20" ht="39.75" customHeight="1">
      <c r="A37" s="370"/>
      <c r="B37" s="371" t="str">
        <f>'随時③-2'!B71</f>
        <v>1(1)ウ</v>
      </c>
      <c r="C37" s="372" t="str">
        <f>'随時③-2'!C71</f>
        <v>授業改善に取り組む。</v>
      </c>
      <c r="D37" s="255">
        <v>422</v>
      </c>
      <c r="E37" s="315" t="str">
        <f>'随時③-2'!E71</f>
        <v>消耗需用費</v>
      </c>
      <c r="F37" s="316" t="str">
        <f>'随時③-2'!F71</f>
        <v>HDMIケーブル（1.5m）</v>
      </c>
      <c r="G37" s="225">
        <f>'随時③-2'!G71</f>
        <v>3446</v>
      </c>
      <c r="H37" s="317">
        <f>'随時③-2'!H71</f>
        <v>2</v>
      </c>
      <c r="I37" s="317">
        <f>'随時③-2'!I71</f>
        <v>1</v>
      </c>
      <c r="J37" s="382">
        <f t="shared" si="11"/>
        <v>6892</v>
      </c>
      <c r="K37" s="319" t="str">
        <f t="shared" si="12"/>
        <v>HDMIケーブル（1.5m）</v>
      </c>
      <c r="L37" s="320">
        <v>1760.4</v>
      </c>
      <c r="M37" s="321">
        <f t="shared" si="13"/>
        <v>2</v>
      </c>
      <c r="N37" s="321">
        <f t="shared" si="14"/>
        <v>1</v>
      </c>
      <c r="O37" s="310">
        <f t="shared" si="15"/>
        <v>3520.8</v>
      </c>
      <c r="P37" s="344">
        <f>'随時③-2'!K71</f>
        <v>0</v>
      </c>
      <c r="Q37" s="345" t="str">
        <f>'随時③-2'!L71</f>
        <v>327の増額再掲</v>
      </c>
      <c r="S37" s="63"/>
      <c r="T37" s="63"/>
    </row>
    <row r="38" spans="1:20" ht="39.75" customHeight="1">
      <c r="A38" s="370"/>
      <c r="B38" s="371" t="str">
        <f>'随時③-2'!B72</f>
        <v>1(1)ウ</v>
      </c>
      <c r="C38" s="372" t="str">
        <f>'随時③-2'!C72</f>
        <v>授業改善に取り組む。</v>
      </c>
      <c r="D38" s="255">
        <v>423</v>
      </c>
      <c r="E38" s="315" t="str">
        <f>'随時③-2'!E72</f>
        <v>消耗需用費</v>
      </c>
      <c r="F38" s="316" t="str">
        <f>'随時③-2'!F72</f>
        <v>授業用テレビ</v>
      </c>
      <c r="G38" s="225">
        <f>'随時③-2'!G72</f>
        <v>35640</v>
      </c>
      <c r="H38" s="317">
        <f>'随時③-2'!H72</f>
        <v>1</v>
      </c>
      <c r="I38" s="317">
        <f>'随時③-2'!I72</f>
        <v>1</v>
      </c>
      <c r="J38" s="382">
        <f aca="true" t="shared" si="16" ref="J38:J47">G38*H38*I38</f>
        <v>35640</v>
      </c>
      <c r="K38" s="319" t="str">
        <f aca="true" t="shared" si="17" ref="K38:N39">F38</f>
        <v>授業用テレビ</v>
      </c>
      <c r="L38" s="320">
        <f t="shared" si="17"/>
        <v>35640</v>
      </c>
      <c r="M38" s="321">
        <f t="shared" si="17"/>
        <v>1</v>
      </c>
      <c r="N38" s="321">
        <f t="shared" si="17"/>
        <v>1</v>
      </c>
      <c r="O38" s="310">
        <f aca="true" t="shared" si="18" ref="O38:O46">L38*M38*N38</f>
        <v>35640</v>
      </c>
      <c r="P38" s="344">
        <f>'随時③-2'!K72</f>
        <v>0</v>
      </c>
      <c r="Q38" s="345" t="str">
        <f>'随時③-2'!L72</f>
        <v>328の増額再掲</v>
      </c>
      <c r="S38" s="63"/>
      <c r="T38" s="63"/>
    </row>
    <row r="39" spans="1:20" ht="39.75" customHeight="1">
      <c r="A39" s="370"/>
      <c r="B39" s="371" t="str">
        <f>'随時③-2'!B73</f>
        <v>1(1)ウ</v>
      </c>
      <c r="C39" s="372" t="str">
        <f>'随時③-2'!C73</f>
        <v>授業改善に取り組む。</v>
      </c>
      <c r="D39" s="255">
        <v>424</v>
      </c>
      <c r="E39" s="315" t="str">
        <f>'随時③-2'!E73</f>
        <v>消耗需用費</v>
      </c>
      <c r="F39" s="316" t="str">
        <f>'随時③-2'!F73</f>
        <v>CDポータブルシステム</v>
      </c>
      <c r="G39" s="225">
        <f>'随時③-2'!G73</f>
        <v>29160</v>
      </c>
      <c r="H39" s="317">
        <f>'随時③-2'!H73</f>
        <v>1</v>
      </c>
      <c r="I39" s="317">
        <f>'随時③-2'!I73</f>
        <v>1</v>
      </c>
      <c r="J39" s="382">
        <f t="shared" si="16"/>
        <v>29160</v>
      </c>
      <c r="K39" s="319" t="str">
        <f t="shared" si="17"/>
        <v>CDポータブルシステム</v>
      </c>
      <c r="L39" s="320">
        <v>18209</v>
      </c>
      <c r="M39" s="321">
        <f t="shared" si="17"/>
        <v>1</v>
      </c>
      <c r="N39" s="321">
        <f t="shared" si="17"/>
        <v>1</v>
      </c>
      <c r="O39" s="310">
        <f t="shared" si="18"/>
        <v>18209</v>
      </c>
      <c r="P39" s="344">
        <f>'随時③-2'!K73</f>
        <v>0</v>
      </c>
      <c r="Q39" s="345" t="str">
        <f>'随時③-2'!L73</f>
        <v>329の増額再掲</v>
      </c>
      <c r="S39" s="63"/>
      <c r="T39" s="63"/>
    </row>
    <row r="40" spans="1:20" ht="39.75" customHeight="1">
      <c r="A40" s="370"/>
      <c r="B40" s="371" t="str">
        <f>'随時③-2'!B74</f>
        <v>1(1)ウ</v>
      </c>
      <c r="C40" s="372" t="str">
        <f>'随時③-2'!C74</f>
        <v>授業改善に取り組む。</v>
      </c>
      <c r="D40" s="255">
        <v>425</v>
      </c>
      <c r="E40" s="315" t="str">
        <f>'随時③-2'!E74</f>
        <v>消耗需用費</v>
      </c>
      <c r="F40" s="316" t="str">
        <f>'随時③-2'!F74</f>
        <v>プロジェクタースクリーン７５型PRS-WB1218M サンワサプライ</v>
      </c>
      <c r="G40" s="225">
        <f>'随時③-2'!G74</f>
        <v>11000</v>
      </c>
      <c r="H40" s="317">
        <f>'随時③-2'!H74</f>
        <v>5</v>
      </c>
      <c r="I40" s="317">
        <f>'随時③-2'!I74</f>
        <v>1</v>
      </c>
      <c r="J40" s="382">
        <f t="shared" si="16"/>
        <v>55000</v>
      </c>
      <c r="K40" s="319" t="str">
        <f aca="true" t="shared" si="19" ref="K40:N42">F40</f>
        <v>プロジェクタースクリーン７５型PRS-WB1218M サンワサプライ</v>
      </c>
      <c r="L40" s="320">
        <v>15714</v>
      </c>
      <c r="M40" s="321">
        <v>3</v>
      </c>
      <c r="N40" s="321">
        <f t="shared" si="19"/>
        <v>1</v>
      </c>
      <c r="O40" s="310">
        <f t="shared" si="18"/>
        <v>47142</v>
      </c>
      <c r="P40" s="344">
        <f>'随時③-2'!K74</f>
        <v>0</v>
      </c>
      <c r="Q40" s="345" t="str">
        <f>'随時③-2'!L74</f>
        <v>新規</v>
      </c>
      <c r="S40" s="63"/>
      <c r="T40" s="63"/>
    </row>
    <row r="41" spans="1:20" ht="39.75" customHeight="1">
      <c r="A41" s="370"/>
      <c r="B41" s="371" t="str">
        <f>'随時③-2'!B75</f>
        <v>1(1)ウ</v>
      </c>
      <c r="C41" s="372" t="str">
        <f>'随時③-2'!C75</f>
        <v>授業改善に取り組む。</v>
      </c>
      <c r="D41" s="255">
        <v>426</v>
      </c>
      <c r="E41" s="315" t="str">
        <f>'随時③-2'!E75</f>
        <v>消耗需用費</v>
      </c>
      <c r="F41" s="316" t="str">
        <f>'随時③-2'!F75</f>
        <v>プロジェクターEB-X41 エプソン</v>
      </c>
      <c r="G41" s="225">
        <f>'随時③-2'!G75</f>
        <v>64500</v>
      </c>
      <c r="H41" s="317">
        <f>'随時③-2'!H75</f>
        <v>3</v>
      </c>
      <c r="I41" s="317">
        <f>'随時③-2'!I75</f>
        <v>1</v>
      </c>
      <c r="J41" s="382">
        <f t="shared" si="16"/>
        <v>193500</v>
      </c>
      <c r="K41" s="319" t="str">
        <f t="shared" si="19"/>
        <v>プロジェクターEB-X41 エプソン</v>
      </c>
      <c r="L41" s="320">
        <v>69109</v>
      </c>
      <c r="M41" s="321">
        <f t="shared" si="19"/>
        <v>3</v>
      </c>
      <c r="N41" s="321">
        <f t="shared" si="19"/>
        <v>1</v>
      </c>
      <c r="O41" s="310">
        <f t="shared" si="18"/>
        <v>207327</v>
      </c>
      <c r="P41" s="344">
        <f>'随時③-2'!K75</f>
        <v>0</v>
      </c>
      <c r="Q41" s="345" t="str">
        <f>'随時③-2'!L75</f>
        <v>新規</v>
      </c>
      <c r="S41" s="63"/>
      <c r="T41" s="63"/>
    </row>
    <row r="42" spans="1:20" ht="39.75" customHeight="1">
      <c r="A42" s="370"/>
      <c r="B42" s="371" t="str">
        <f>'随時③-2'!B76</f>
        <v>1(1)ウ</v>
      </c>
      <c r="C42" s="372" t="str">
        <f>'随時③-2'!C76</f>
        <v>授業改善に取り組む。</v>
      </c>
      <c r="D42" s="255">
        <v>427</v>
      </c>
      <c r="E42" s="315" t="str">
        <f>'随時③-2'!E76</f>
        <v>消耗需用費</v>
      </c>
      <c r="F42" s="316" t="str">
        <f>'随時③-2'!F76</f>
        <v>無線LANユニットelpap10</v>
      </c>
      <c r="G42" s="225">
        <f>'随時③-2'!G76</f>
        <v>8500</v>
      </c>
      <c r="H42" s="317">
        <f>'随時③-2'!H76</f>
        <v>5</v>
      </c>
      <c r="I42" s="317">
        <f>'随時③-2'!I76</f>
        <v>1</v>
      </c>
      <c r="J42" s="382">
        <f t="shared" si="16"/>
        <v>42500</v>
      </c>
      <c r="K42" s="319" t="str">
        <f t="shared" si="19"/>
        <v>無線LANユニットelpap10</v>
      </c>
      <c r="L42" s="320">
        <v>7668</v>
      </c>
      <c r="M42" s="321">
        <v>3</v>
      </c>
      <c r="N42" s="321">
        <f t="shared" si="19"/>
        <v>1</v>
      </c>
      <c r="O42" s="310">
        <f t="shared" si="18"/>
        <v>23004</v>
      </c>
      <c r="P42" s="344">
        <f>'随時③-2'!K76</f>
        <v>0</v>
      </c>
      <c r="Q42" s="345" t="str">
        <f>'随時③-2'!L76</f>
        <v>新規</v>
      </c>
      <c r="S42" s="63"/>
      <c r="T42" s="63"/>
    </row>
    <row r="43" spans="1:20" ht="39.75" customHeight="1">
      <c r="A43" s="370"/>
      <c r="B43" s="371" t="str">
        <f>'随時③-2'!B77</f>
        <v>2(2)</v>
      </c>
      <c r="C43" s="372" t="str">
        <f>'随時③-2'!C77</f>
        <v>高等部職業コース設置</v>
      </c>
      <c r="D43" s="255">
        <v>428</v>
      </c>
      <c r="E43" s="315" t="str">
        <f>'随時③-2'!E77</f>
        <v>消耗需用費</v>
      </c>
      <c r="F43" s="316" t="str">
        <f>'随時③-2'!F77</f>
        <v>壁掛け用ワンウェイ掲示板</v>
      </c>
      <c r="G43" s="225">
        <f>'随時③-2'!G77</f>
        <v>13154</v>
      </c>
      <c r="H43" s="317">
        <f>'随時③-2'!H77</f>
        <v>1</v>
      </c>
      <c r="I43" s="317">
        <f>'随時③-2'!I77</f>
        <v>1</v>
      </c>
      <c r="J43" s="382">
        <f t="shared" si="16"/>
        <v>13154</v>
      </c>
      <c r="K43" s="319" t="str">
        <f>F43</f>
        <v>壁掛け用ワンウェイ掲示板</v>
      </c>
      <c r="L43" s="320">
        <v>0</v>
      </c>
      <c r="M43" s="321">
        <v>0</v>
      </c>
      <c r="N43" s="321">
        <v>0</v>
      </c>
      <c r="O43" s="310">
        <f t="shared" si="18"/>
        <v>0</v>
      </c>
      <c r="P43" s="344">
        <f>'随時③-2'!K77</f>
        <v>0</v>
      </c>
      <c r="Q43" s="345" t="str">
        <f>'随時③-2'!L77</f>
        <v>330の増額再掲</v>
      </c>
      <c r="S43" s="63"/>
      <c r="T43" s="63"/>
    </row>
    <row r="44" spans="1:20" ht="39.75" customHeight="1">
      <c r="A44" s="370"/>
      <c r="B44" s="371" t="str">
        <f>'随時③-2'!B78</f>
        <v>2(2)</v>
      </c>
      <c r="C44" s="372" t="str">
        <f>'随時③-2'!C78</f>
        <v>高等部職業コース設置</v>
      </c>
      <c r="D44" s="255">
        <v>429</v>
      </c>
      <c r="E44" s="315" t="str">
        <f>'随時③-2'!E78</f>
        <v>消耗需用費</v>
      </c>
      <c r="F44" s="316" t="str">
        <f>'随時③-2'!F78</f>
        <v>交換式クリヤーブック</v>
      </c>
      <c r="G44" s="225">
        <f>'随時③-2'!G78</f>
        <v>810</v>
      </c>
      <c r="H44" s="317">
        <f>'随時③-2'!H78</f>
        <v>1</v>
      </c>
      <c r="I44" s="317">
        <f>'随時③-2'!I78</f>
        <v>1</v>
      </c>
      <c r="J44" s="382">
        <f t="shared" si="16"/>
        <v>810</v>
      </c>
      <c r="K44" s="319" t="str">
        <f>F44</f>
        <v>交換式クリヤーブック</v>
      </c>
      <c r="L44" s="320"/>
      <c r="M44" s="321">
        <v>0</v>
      </c>
      <c r="N44" s="321">
        <v>0</v>
      </c>
      <c r="O44" s="310">
        <f t="shared" si="18"/>
        <v>0</v>
      </c>
      <c r="P44" s="344">
        <f>'随時③-2'!K78</f>
        <v>0</v>
      </c>
      <c r="Q44" s="345" t="str">
        <f>'随時③-2'!L78</f>
        <v>331の増額再掲</v>
      </c>
      <c r="S44" s="63"/>
      <c r="T44" s="63"/>
    </row>
    <row r="45" spans="1:20" ht="39.75" customHeight="1">
      <c r="A45" s="370"/>
      <c r="B45" s="371" t="str">
        <f>'随時③-2'!B79</f>
        <v>2(2)</v>
      </c>
      <c r="C45" s="372" t="str">
        <f>'随時③-2'!C79</f>
        <v>高等部職業コース設置</v>
      </c>
      <c r="D45" s="255">
        <v>430</v>
      </c>
      <c r="E45" s="315" t="str">
        <f>'随時③-2'!E79</f>
        <v>消耗需用費</v>
      </c>
      <c r="F45" s="316" t="str">
        <f>'随時③-2'!F79</f>
        <v>ファイルワゴン</v>
      </c>
      <c r="G45" s="225">
        <f>'随時③-2'!G79</f>
        <v>6090</v>
      </c>
      <c r="H45" s="317">
        <f>'随時③-2'!H79</f>
        <v>1</v>
      </c>
      <c r="I45" s="317">
        <f>'随時③-2'!I79</f>
        <v>1</v>
      </c>
      <c r="J45" s="382">
        <f t="shared" si="16"/>
        <v>6090</v>
      </c>
      <c r="K45" s="319" t="str">
        <f>F45</f>
        <v>ファイルワゴン</v>
      </c>
      <c r="L45" s="320">
        <v>0</v>
      </c>
      <c r="M45" s="321">
        <v>0</v>
      </c>
      <c r="N45" s="321">
        <v>0</v>
      </c>
      <c r="O45" s="310">
        <f t="shared" si="18"/>
        <v>0</v>
      </c>
      <c r="P45" s="344">
        <f>'随時③-2'!K79</f>
        <v>0</v>
      </c>
      <c r="Q45" s="345" t="str">
        <f>'随時③-2'!L79</f>
        <v>332の減額再掲</v>
      </c>
      <c r="S45" s="63"/>
      <c r="T45" s="63"/>
    </row>
    <row r="46" spans="1:20" ht="39.75" customHeight="1" thickBot="1">
      <c r="A46" s="370"/>
      <c r="B46" s="371" t="str">
        <f>'随時③-2'!B80</f>
        <v>2(2)</v>
      </c>
      <c r="C46" s="372" t="str">
        <f>'随時③-2'!C80</f>
        <v>高等部職業コース設置</v>
      </c>
      <c r="D46" s="255">
        <v>431</v>
      </c>
      <c r="E46" s="315" t="str">
        <f>'随時③-2'!E80</f>
        <v>消耗需用費</v>
      </c>
      <c r="F46" s="316" t="str">
        <f>'随時③-2'!F80</f>
        <v>クリヤーポケット</v>
      </c>
      <c r="G46" s="225">
        <f>'随時③-2'!G80</f>
        <v>1180</v>
      </c>
      <c r="H46" s="317">
        <f>'随時③-2'!H80</f>
        <v>1</v>
      </c>
      <c r="I46" s="317">
        <f>'随時③-2'!I80</f>
        <v>1</v>
      </c>
      <c r="J46" s="382">
        <f t="shared" si="16"/>
        <v>1180</v>
      </c>
      <c r="K46" s="319" t="str">
        <f>F46</f>
        <v>クリヤーポケット</v>
      </c>
      <c r="L46" s="320"/>
      <c r="M46" s="321">
        <v>0</v>
      </c>
      <c r="N46" s="321">
        <v>0</v>
      </c>
      <c r="O46" s="310">
        <f t="shared" si="18"/>
        <v>0</v>
      </c>
      <c r="P46" s="344">
        <f>'随時③-2'!K80</f>
        <v>0</v>
      </c>
      <c r="Q46" s="345" t="str">
        <f>'随時③-2'!L80</f>
        <v>333の増額再掲</v>
      </c>
      <c r="S46" s="63"/>
      <c r="T46" s="63"/>
    </row>
    <row r="47" spans="1:17" ht="13.5">
      <c r="A47" s="51"/>
      <c r="B47" s="51"/>
      <c r="C47" s="51"/>
      <c r="D47" s="73"/>
      <c r="E47" s="64"/>
      <c r="F47" s="64"/>
      <c r="G47" s="49"/>
      <c r="H47" s="65"/>
      <c r="I47" s="65"/>
      <c r="J47" s="52">
        <f t="shared" si="16"/>
        <v>0</v>
      </c>
      <c r="K47" s="64"/>
      <c r="L47" s="36"/>
      <c r="M47" s="68"/>
      <c r="N47" s="68"/>
      <c r="O47" s="36"/>
      <c r="P47" s="37"/>
      <c r="Q47" s="69"/>
    </row>
    <row r="48" spans="6:10" ht="19.5" thickBot="1">
      <c r="F48" s="28"/>
      <c r="G48" s="28"/>
      <c r="I48" s="555" t="s">
        <v>15</v>
      </c>
      <c r="J48" s="555"/>
    </row>
    <row r="49" spans="4:15" ht="14.25" thickBot="1">
      <c r="D49" s="5"/>
      <c r="F49" s="24"/>
      <c r="G49" s="24"/>
      <c r="I49" s="569" t="s">
        <v>96</v>
      </c>
      <c r="J49" s="570"/>
      <c r="K49" s="38" t="s">
        <v>191</v>
      </c>
      <c r="L49" s="556" t="s">
        <v>176</v>
      </c>
      <c r="M49" s="557"/>
      <c r="N49" s="558" t="s">
        <v>192</v>
      </c>
      <c r="O49" s="559"/>
    </row>
    <row r="50" spans="4:15" ht="14.25" thickTop="1">
      <c r="D50" s="5"/>
      <c r="I50" s="571" t="s">
        <v>85</v>
      </c>
      <c r="J50" s="572"/>
      <c r="K50" s="349">
        <f aca="true" t="shared" si="20" ref="K50:K58">SUMIF($E$4:$E$46,$I50,$O$4:$O$46)</f>
        <v>94000</v>
      </c>
      <c r="L50" s="565">
        <f aca="true" t="shared" si="21" ref="L50:L57">SUMIF($E$4:$E$46,$I50,$T$4:$T$46)</f>
        <v>0</v>
      </c>
      <c r="M50" s="566">
        <f aca="true" t="shared" si="22" ref="M50:M58">SUMIF($E$4:$E$46,$I50,$O$4:$O$46)</f>
        <v>94000</v>
      </c>
      <c r="N50" s="567">
        <f>K50-L50</f>
        <v>94000</v>
      </c>
      <c r="O50" s="568"/>
    </row>
    <row r="51" spans="4:15" ht="13.5">
      <c r="D51" s="5"/>
      <c r="I51" s="577" t="s">
        <v>86</v>
      </c>
      <c r="J51" s="578"/>
      <c r="K51" s="352">
        <f t="shared" si="20"/>
        <v>4240</v>
      </c>
      <c r="L51" s="573">
        <f t="shared" si="21"/>
        <v>0</v>
      </c>
      <c r="M51" s="574">
        <f t="shared" si="22"/>
        <v>4240</v>
      </c>
      <c r="N51" s="575">
        <f aca="true" t="shared" si="23" ref="N51:N58">K51-L51</f>
        <v>4240</v>
      </c>
      <c r="O51" s="576"/>
    </row>
    <row r="52" spans="4:15" ht="13.5">
      <c r="D52" s="5"/>
      <c r="I52" s="577" t="s">
        <v>125</v>
      </c>
      <c r="J52" s="578"/>
      <c r="K52" s="348">
        <f t="shared" si="20"/>
        <v>874938.2000000001</v>
      </c>
      <c r="L52" s="573">
        <f t="shared" si="21"/>
        <v>0</v>
      </c>
      <c r="M52" s="574">
        <f t="shared" si="22"/>
        <v>874938.2000000001</v>
      </c>
      <c r="N52" s="575">
        <f t="shared" si="23"/>
        <v>874938.2000000001</v>
      </c>
      <c r="O52" s="576"/>
    </row>
    <row r="53" spans="4:15" ht="13.5">
      <c r="D53" s="5"/>
      <c r="I53" s="577" t="s">
        <v>126</v>
      </c>
      <c r="J53" s="578"/>
      <c r="K53" s="348">
        <f t="shared" si="20"/>
        <v>0</v>
      </c>
      <c r="L53" s="573">
        <f t="shared" si="21"/>
        <v>0</v>
      </c>
      <c r="M53" s="574">
        <f t="shared" si="22"/>
        <v>0</v>
      </c>
      <c r="N53" s="575">
        <f t="shared" si="23"/>
        <v>0</v>
      </c>
      <c r="O53" s="576"/>
    </row>
    <row r="54" spans="4:15" ht="24" customHeight="1">
      <c r="D54" s="5"/>
      <c r="I54" s="577" t="s">
        <v>87</v>
      </c>
      <c r="J54" s="578"/>
      <c r="K54" s="348">
        <f t="shared" si="20"/>
        <v>0</v>
      </c>
      <c r="L54" s="573">
        <f t="shared" si="21"/>
        <v>0</v>
      </c>
      <c r="M54" s="574">
        <f t="shared" si="22"/>
        <v>0</v>
      </c>
      <c r="N54" s="575">
        <f t="shared" si="23"/>
        <v>0</v>
      </c>
      <c r="O54" s="576"/>
    </row>
    <row r="55" spans="4:18" ht="24" customHeight="1">
      <c r="D55" s="5"/>
      <c r="I55" s="577" t="s">
        <v>88</v>
      </c>
      <c r="J55" s="578"/>
      <c r="K55" s="348">
        <f t="shared" si="20"/>
        <v>0</v>
      </c>
      <c r="L55" s="573">
        <f t="shared" si="21"/>
        <v>0</v>
      </c>
      <c r="M55" s="574">
        <f t="shared" si="22"/>
        <v>0</v>
      </c>
      <c r="N55" s="575">
        <f t="shared" si="23"/>
        <v>0</v>
      </c>
      <c r="O55" s="576"/>
      <c r="R55" s="5"/>
    </row>
    <row r="56" spans="4:18" ht="13.5">
      <c r="D56" s="5"/>
      <c r="I56" s="577" t="s">
        <v>89</v>
      </c>
      <c r="J56" s="578"/>
      <c r="K56" s="348">
        <f t="shared" si="20"/>
        <v>0</v>
      </c>
      <c r="L56" s="573">
        <f t="shared" si="21"/>
        <v>0</v>
      </c>
      <c r="M56" s="574">
        <f t="shared" si="22"/>
        <v>0</v>
      </c>
      <c r="N56" s="575">
        <f t="shared" si="23"/>
        <v>0</v>
      </c>
      <c r="O56" s="576"/>
      <c r="R56" s="5"/>
    </row>
    <row r="57" spans="4:18" ht="13.5">
      <c r="D57" s="5"/>
      <c r="I57" s="577" t="s">
        <v>90</v>
      </c>
      <c r="J57" s="578"/>
      <c r="K57" s="348">
        <f t="shared" si="20"/>
        <v>0</v>
      </c>
      <c r="L57" s="573">
        <f t="shared" si="21"/>
        <v>0</v>
      </c>
      <c r="M57" s="574">
        <f t="shared" si="22"/>
        <v>0</v>
      </c>
      <c r="N57" s="575">
        <f t="shared" si="23"/>
        <v>0</v>
      </c>
      <c r="O57" s="576"/>
      <c r="R57" s="5"/>
    </row>
    <row r="58" spans="4:18" ht="14.25" thickBot="1">
      <c r="D58" s="5"/>
      <c r="I58" s="587" t="s">
        <v>138</v>
      </c>
      <c r="J58" s="588"/>
      <c r="K58" s="348">
        <f t="shared" si="20"/>
        <v>92290</v>
      </c>
      <c r="L58" s="583">
        <f>SUMIF($E$4:$E$46,$I58,$T$4:$T$46)+'3-3'!F26</f>
        <v>11000</v>
      </c>
      <c r="M58" s="584">
        <f t="shared" si="22"/>
        <v>92290</v>
      </c>
      <c r="N58" s="585">
        <f t="shared" si="23"/>
        <v>81290</v>
      </c>
      <c r="O58" s="586"/>
      <c r="R58" s="5"/>
    </row>
    <row r="59" spans="4:18" ht="15" thickBot="1" thickTop="1">
      <c r="D59" s="5"/>
      <c r="I59" s="589" t="s">
        <v>15</v>
      </c>
      <c r="J59" s="590"/>
      <c r="K59" s="355">
        <f>SUM(K50:K58)</f>
        <v>1065468.2000000002</v>
      </c>
      <c r="L59" s="579">
        <f>SUM(L50:L58)</f>
        <v>11000</v>
      </c>
      <c r="M59" s="580"/>
      <c r="N59" s="581">
        <f>SUM(N50:N58)</f>
        <v>1054468.2000000002</v>
      </c>
      <c r="O59" s="582"/>
      <c r="R59" s="5"/>
    </row>
  </sheetData>
  <sheetProtection formatCells="0" selectLockedCells="1"/>
  <mergeCells count="36">
    <mergeCell ref="I57:J57"/>
    <mergeCell ref="L59:M59"/>
    <mergeCell ref="N59:O59"/>
    <mergeCell ref="L57:M57"/>
    <mergeCell ref="N57:O57"/>
    <mergeCell ref="L58:M58"/>
    <mergeCell ref="N58:O58"/>
    <mergeCell ref="I58:J58"/>
    <mergeCell ref="I59:J59"/>
    <mergeCell ref="L55:M55"/>
    <mergeCell ref="N55:O55"/>
    <mergeCell ref="L56:M56"/>
    <mergeCell ref="N56:O56"/>
    <mergeCell ref="I55:J55"/>
    <mergeCell ref="I56:J56"/>
    <mergeCell ref="L53:M53"/>
    <mergeCell ref="N53:O53"/>
    <mergeCell ref="L54:M54"/>
    <mergeCell ref="N54:O54"/>
    <mergeCell ref="I53:J53"/>
    <mergeCell ref="I54:J54"/>
    <mergeCell ref="L51:M51"/>
    <mergeCell ref="N51:O51"/>
    <mergeCell ref="L52:M52"/>
    <mergeCell ref="N52:O52"/>
    <mergeCell ref="I51:J51"/>
    <mergeCell ref="I52:J52"/>
    <mergeCell ref="I48:J48"/>
    <mergeCell ref="L49:M49"/>
    <mergeCell ref="N49:O49"/>
    <mergeCell ref="K2:O2"/>
    <mergeCell ref="F2:J2"/>
    <mergeCell ref="L50:M50"/>
    <mergeCell ref="N50:O50"/>
    <mergeCell ref="I49:J49"/>
    <mergeCell ref="I50:J50"/>
  </mergeCells>
  <conditionalFormatting sqref="B2:E2 J4:J13 J16:J47">
    <cfRule type="cellIs" priority="36" dxfId="30" operator="equal" stopIfTrue="1">
      <formula>0</formula>
    </cfRule>
  </conditionalFormatting>
  <conditionalFormatting sqref="O4:O13 K14:O47">
    <cfRule type="cellIs" priority="34" dxfId="18" operator="notEqual" stopIfTrue="1">
      <formula>F4</formula>
    </cfRule>
  </conditionalFormatting>
  <dataValidations count="2">
    <dataValidation type="list" allowBlank="1" showInputMessage="1" showErrorMessage="1" sqref="E47 I50:I58">
      <formula1>"報償費,旅費,消耗需用費,維持需用費,役務費,委託料,使用料及び賃借料,備品購入費,負担金、補助及び交付金"</formula1>
    </dataValidation>
    <dataValidation type="list" allowBlank="1" showInputMessage="1" showErrorMessage="1" sqref="P4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2" max="16" man="1"/>
    <brk id="44"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1" t="s">
        <v>264</v>
      </c>
      <c r="B1" s="591"/>
      <c r="C1" s="591"/>
      <c r="D1" s="591"/>
      <c r="E1" s="591"/>
      <c r="F1" s="591"/>
    </row>
    <row r="2" spans="1:6" ht="15" customHeight="1" thickBot="1">
      <c r="A2" s="8"/>
      <c r="B2" s="7" t="s">
        <v>244</v>
      </c>
      <c r="C2" s="87"/>
      <c r="E2" s="72" t="s">
        <v>220</v>
      </c>
      <c r="F2" s="185">
        <f>SUM(E4:E23)</f>
        <v>85290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9000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0">
        <f>IF('2-3'!H94="",'2-3'!E94,'2-3'!H94)</f>
        <v>1270</v>
      </c>
      <c r="F18" s="83">
        <f>IF('2-3'!I94="",'2-3'!G94,'2-3'!I94)</f>
      </c>
    </row>
    <row r="19" spans="1:6" ht="15" customHeight="1">
      <c r="A19" s="104">
        <v>91</v>
      </c>
      <c r="B19" s="127" t="str">
        <f>IF('1-3'!B94="","",'1-3'!B94)</f>
        <v>大阪</v>
      </c>
      <c r="C19" s="127">
        <f>IF('1-3'!C94="","",'1-3'!C94)</f>
      </c>
      <c r="D19" s="144" t="str">
        <f>IF('1-3'!D94="","",'1-3'!D94)</f>
        <v>大阪府立学校人権教育研究会</v>
      </c>
      <c r="E19" s="210">
        <f>IF('2-3'!H95="",'2-3'!E95,'2-3'!H95)</f>
        <v>2120</v>
      </c>
      <c r="F19" s="83">
        <f>IF('2-3'!I95="",'2-3'!G95,'2-3'!I95)</f>
      </c>
    </row>
    <row r="20" spans="1:6" ht="15" customHeight="1">
      <c r="A20" s="104">
        <v>93</v>
      </c>
      <c r="B20" s="127" t="str">
        <f>IF('1-3'!B96="","",'1-3'!B96)</f>
        <v>大阪</v>
      </c>
      <c r="C20" s="127">
        <f>IF('1-3'!C96="","",'1-3'!C96)</f>
      </c>
      <c r="D20" s="144" t="str">
        <f>IF('1-3'!D96="","",'1-3'!D96)</f>
        <v>大阪府立高等学校保健研究会</v>
      </c>
      <c r="E20" s="210">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0">
        <f>IF('2-3'!H98="",'2-3'!E98,'2-3'!H98)</f>
        <v>5000</v>
      </c>
      <c r="F21" s="83">
        <f>IF('2-3'!I98="",'2-3'!G98,'2-3'!I98)</f>
      </c>
    </row>
    <row r="22" spans="1:6" ht="15" customHeight="1">
      <c r="A22" s="104">
        <v>97</v>
      </c>
      <c r="B22" s="127" t="str">
        <f>IF('1-3'!B100="","",'1-3'!B100)</f>
        <v>大阪</v>
      </c>
      <c r="C22" s="127">
        <f>IF('1-3'!C100="","",'1-3'!C100)</f>
      </c>
      <c r="D22" s="144" t="str">
        <f>IF('1-3'!D100="","",'1-3'!D100)</f>
        <v>大阪府高等学校生活指導研究会</v>
      </c>
      <c r="E22" s="210">
        <f>IF('2-3'!H101="",'2-3'!E101,'2-3'!H101)</f>
        <v>4000</v>
      </c>
      <c r="F22" s="83">
        <f>IF('2-3'!I101="",'2-3'!G101,'2-3'!I101)</f>
      </c>
    </row>
    <row r="23" spans="1:6" ht="15" customHeight="1" thickBot="1">
      <c r="A23" s="108">
        <v>98</v>
      </c>
      <c r="B23" s="129" t="str">
        <f>IF('1-3'!B101="","",'1-3'!B101)</f>
        <v>大阪</v>
      </c>
      <c r="C23" s="129">
        <f>IF('1-3'!C101="","",'1-3'!C101)</f>
      </c>
      <c r="D23" s="513" t="str">
        <f>IF('1-3'!D101="","",'1-3'!D101)</f>
        <v>大阪府立支援学校栄養教諭研究会</v>
      </c>
      <c r="E23" s="214">
        <f>IF('2-3'!H102="",'2-3'!E102,'2-3'!H102)</f>
        <v>2000</v>
      </c>
      <c r="F23" s="85">
        <f>IF('2-3'!I102="",'2-3'!G102,'2-3'!I102)</f>
      </c>
    </row>
    <row r="24" spans="4:6" ht="15" customHeight="1" thickBot="1">
      <c r="D24" s="80"/>
      <c r="E24" s="80"/>
      <c r="F24" s="81"/>
    </row>
    <row r="25" spans="4:6" ht="15" customHeight="1">
      <c r="D25" s="80"/>
      <c r="E25" s="10" t="s">
        <v>220</v>
      </c>
      <c r="F25" s="182">
        <f>SUM(E4:E23)</f>
        <v>85290</v>
      </c>
    </row>
    <row r="26" spans="4:6" ht="15" customHeight="1">
      <c r="D26" s="80"/>
      <c r="E26" s="39" t="s">
        <v>176</v>
      </c>
      <c r="F26" s="183">
        <f>SUMIF($F$4:$F$23,"◎",$E$4:$E$23)</f>
        <v>11000</v>
      </c>
    </row>
    <row r="27" spans="4:6" ht="15" customHeight="1" thickBot="1">
      <c r="D27" s="80"/>
      <c r="E27" s="82" t="s">
        <v>13</v>
      </c>
      <c r="F27" s="184">
        <f>F25-F26</f>
        <v>74290</v>
      </c>
    </row>
  </sheetData>
  <sheetProtection formatCells="0" selectLockedCells="1"/>
  <mergeCells count="1">
    <mergeCell ref="A1:F1"/>
  </mergeCells>
  <conditionalFormatting sqref="E4:F23">
    <cfRule type="cellIs" priority="35" dxfId="16"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2">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35" t="s">
        <v>279</v>
      </c>
      <c r="I1" s="535"/>
      <c r="J1" s="535"/>
      <c r="K1" s="535"/>
    </row>
    <row r="2" spans="8:11" s="1" customFormat="1" ht="18" customHeight="1">
      <c r="H2" s="535" t="s">
        <v>280</v>
      </c>
      <c r="I2" s="535"/>
      <c r="J2" s="535"/>
      <c r="K2" s="535"/>
    </row>
    <row r="3" s="1" customFormat="1" ht="18" customHeight="1">
      <c r="K3" s="2"/>
    </row>
    <row r="4" spans="8:11" s="1" customFormat="1" ht="18" customHeight="1">
      <c r="H4" s="536" t="s">
        <v>307</v>
      </c>
      <c r="I4" s="536"/>
      <c r="J4" s="536"/>
      <c r="K4" s="536"/>
    </row>
    <row r="5" spans="8:11" s="1" customFormat="1" ht="18" customHeight="1">
      <c r="H5" s="537">
        <v>42857</v>
      </c>
      <c r="I5" s="536"/>
      <c r="J5" s="536"/>
      <c r="K5" s="536"/>
    </row>
    <row r="6" spans="1:11" s="1" customFormat="1" ht="18" customHeight="1">
      <c r="A6" s="3" t="s">
        <v>2</v>
      </c>
      <c r="H6" s="4"/>
      <c r="K6" s="11"/>
    </row>
    <row r="7" spans="1:11" s="1" customFormat="1" ht="18" customHeight="1">
      <c r="A7" s="4"/>
      <c r="H7" s="536" t="s">
        <v>277</v>
      </c>
      <c r="I7" s="536"/>
      <c r="J7" s="536"/>
      <c r="K7" s="536"/>
    </row>
    <row r="8" spans="1:11" s="1" customFormat="1" ht="18" customHeight="1">
      <c r="A8" s="4"/>
      <c r="H8" s="536" t="s">
        <v>278</v>
      </c>
      <c r="I8" s="536"/>
      <c r="J8" s="536"/>
      <c r="K8" s="536"/>
    </row>
    <row r="9" spans="1:11" s="1" customFormat="1" ht="42" customHeight="1">
      <c r="A9" s="4"/>
      <c r="H9" s="2"/>
      <c r="K9" s="46"/>
    </row>
    <row r="10" spans="1:11" ht="24" customHeight="1">
      <c r="A10" s="539" t="s">
        <v>256</v>
      </c>
      <c r="B10" s="539"/>
      <c r="C10" s="539"/>
      <c r="D10" s="539"/>
      <c r="E10" s="539"/>
      <c r="F10" s="539"/>
      <c r="G10" s="539"/>
      <c r="H10" s="539"/>
      <c r="I10" s="539"/>
      <c r="J10" s="539"/>
      <c r="K10" s="539"/>
    </row>
    <row r="11" spans="1:11" ht="24" customHeight="1">
      <c r="A11" s="540"/>
      <c r="B11" s="540"/>
      <c r="C11" s="540"/>
      <c r="D11" s="540"/>
      <c r="E11" s="540"/>
      <c r="F11" s="540"/>
      <c r="G11" s="540"/>
      <c r="H11" s="540"/>
      <c r="I11" s="540"/>
      <c r="J11" s="540"/>
      <c r="K11" s="54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94" t="s">
        <v>84</v>
      </c>
      <c r="B14" s="595"/>
      <c r="C14" s="596"/>
      <c r="D14" s="597">
        <v>1190000</v>
      </c>
      <c r="E14" s="598"/>
      <c r="F14" s="599"/>
      <c r="G14" s="600"/>
      <c r="H14" s="601"/>
      <c r="I14" s="601"/>
      <c r="J14" s="601"/>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145000</v>
      </c>
      <c r="C18" s="322">
        <f>'1-2'!G108</f>
        <v>50180</v>
      </c>
      <c r="D18" s="322">
        <f>'1-2'!G109</f>
        <v>878000</v>
      </c>
      <c r="E18" s="322">
        <f>'1-2'!G110</f>
        <v>0</v>
      </c>
      <c r="F18" s="322">
        <f>'1-2'!G111</f>
        <v>0</v>
      </c>
      <c r="G18" s="322">
        <f>'1-2'!G112</f>
        <v>0</v>
      </c>
      <c r="H18" s="322">
        <f>'1-2'!G113</f>
        <v>0</v>
      </c>
      <c r="I18" s="322">
        <f>'1-2'!G114</f>
        <v>0</v>
      </c>
      <c r="J18" s="435">
        <f>'1-2'!G115</f>
        <v>116820</v>
      </c>
      <c r="K18" s="436">
        <f t="shared" si="0"/>
        <v>1190000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145000</v>
      </c>
      <c r="C20" s="442">
        <f>C18-C19</f>
        <v>50180</v>
      </c>
      <c r="D20" s="442">
        <f aca="true" t="shared" si="1" ref="D20:J20">D18-D19</f>
        <v>878000</v>
      </c>
      <c r="E20" s="442">
        <f t="shared" si="1"/>
        <v>0</v>
      </c>
      <c r="F20" s="442">
        <f t="shared" si="1"/>
        <v>0</v>
      </c>
      <c r="G20" s="442">
        <f t="shared" si="1"/>
        <v>0</v>
      </c>
      <c r="H20" s="442">
        <f t="shared" si="1"/>
        <v>0</v>
      </c>
      <c r="I20" s="442">
        <f t="shared" si="1"/>
        <v>0</v>
      </c>
      <c r="J20" s="442">
        <f t="shared" si="1"/>
        <v>105820</v>
      </c>
      <c r="K20" s="443">
        <f t="shared" si="0"/>
        <v>1179000</v>
      </c>
    </row>
    <row r="21" spans="1:11" ht="58.5" customHeight="1" thickBot="1">
      <c r="A21" s="32" t="s">
        <v>102</v>
      </c>
      <c r="B21" s="441">
        <f>B16+B18</f>
        <v>145000</v>
      </c>
      <c r="C21" s="441">
        <f aca="true" t="shared" si="2" ref="C21:J21">C16+C18</f>
        <v>50180</v>
      </c>
      <c r="D21" s="441">
        <f t="shared" si="2"/>
        <v>878000</v>
      </c>
      <c r="E21" s="441">
        <f t="shared" si="2"/>
        <v>0</v>
      </c>
      <c r="F21" s="441">
        <f t="shared" si="2"/>
        <v>0</v>
      </c>
      <c r="G21" s="441">
        <f t="shared" si="2"/>
        <v>0</v>
      </c>
      <c r="H21" s="441">
        <f t="shared" si="2"/>
        <v>0</v>
      </c>
      <c r="I21" s="441">
        <f t="shared" si="2"/>
        <v>0</v>
      </c>
      <c r="J21" s="441">
        <f t="shared" si="2"/>
        <v>116820</v>
      </c>
      <c r="K21" s="443">
        <f t="shared" si="0"/>
        <v>1190000</v>
      </c>
    </row>
    <row r="22" spans="1:11" ht="58.5" customHeight="1">
      <c r="A22" s="30" t="s">
        <v>163</v>
      </c>
      <c r="B22" s="444"/>
      <c r="C22" s="341"/>
      <c r="D22" s="341"/>
      <c r="E22" s="341"/>
      <c r="F22" s="341"/>
      <c r="G22" s="341"/>
      <c r="H22" s="341"/>
      <c r="I22" s="341"/>
      <c r="J22" s="445"/>
      <c r="K22" s="433">
        <f t="shared" si="0"/>
        <v>0</v>
      </c>
    </row>
    <row r="23" spans="1:11" ht="58.5" customHeight="1" thickBot="1">
      <c r="A23" s="22" t="s">
        <v>164</v>
      </c>
      <c r="B23" s="220">
        <f>B21+B22</f>
        <v>145000</v>
      </c>
      <c r="C23" s="221">
        <f>C21+C22</f>
        <v>50180</v>
      </c>
      <c r="D23" s="221">
        <f aca="true" t="shared" si="3" ref="D23:J23">D21+D22</f>
        <v>878000</v>
      </c>
      <c r="E23" s="221">
        <f t="shared" si="3"/>
        <v>0</v>
      </c>
      <c r="F23" s="221">
        <f t="shared" si="3"/>
        <v>0</v>
      </c>
      <c r="G23" s="221">
        <f t="shared" si="3"/>
        <v>0</v>
      </c>
      <c r="H23" s="221">
        <f t="shared" si="3"/>
        <v>0</v>
      </c>
      <c r="I23" s="221">
        <f t="shared" si="3"/>
        <v>0</v>
      </c>
      <c r="J23" s="221">
        <f t="shared" si="3"/>
        <v>116820</v>
      </c>
      <c r="K23" s="223">
        <f t="shared" si="0"/>
        <v>1190000</v>
      </c>
    </row>
    <row r="24" spans="1:11" ht="39" customHeight="1" thickBot="1">
      <c r="A24" s="32" t="s">
        <v>104</v>
      </c>
      <c r="B24" s="592" t="s">
        <v>122</v>
      </c>
      <c r="C24" s="592"/>
      <c r="D24" s="592"/>
      <c r="E24" s="592"/>
      <c r="F24" s="592"/>
      <c r="G24" s="592"/>
      <c r="H24" s="592"/>
      <c r="I24" s="592"/>
      <c r="J24" s="592"/>
      <c r="K24" s="59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30"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7" sqref="F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5" t="s">
        <v>142</v>
      </c>
      <c r="C3" s="60" t="s">
        <v>144</v>
      </c>
      <c r="D3" s="96" t="s">
        <v>146</v>
      </c>
      <c r="E3" s="96" t="s">
        <v>0</v>
      </c>
      <c r="F3" s="96" t="s">
        <v>198</v>
      </c>
      <c r="G3" s="96" t="s">
        <v>91</v>
      </c>
      <c r="H3" s="470" t="s">
        <v>246</v>
      </c>
      <c r="I3" s="96" t="s">
        <v>92</v>
      </c>
      <c r="J3" s="96" t="s">
        <v>93</v>
      </c>
      <c r="K3" s="228" t="s">
        <v>111</v>
      </c>
      <c r="L3" s="296" t="s">
        <v>94</v>
      </c>
      <c r="M3" s="29" t="s">
        <v>99</v>
      </c>
    </row>
    <row r="4" spans="1:13" ht="13.5" customHeight="1">
      <c r="A4" s="241"/>
      <c r="B4" s="242" t="s">
        <v>284</v>
      </c>
      <c r="C4" s="243" t="s">
        <v>286</v>
      </c>
      <c r="D4" s="244">
        <v>1</v>
      </c>
      <c r="E4" s="245" t="s">
        <v>160</v>
      </c>
      <c r="F4" s="246" t="s">
        <v>225</v>
      </c>
      <c r="G4" s="247">
        <v>99820</v>
      </c>
      <c r="H4" s="248">
        <v>1</v>
      </c>
      <c r="I4" s="248">
        <v>1</v>
      </c>
      <c r="J4" s="249">
        <f>G4*H4*I4</f>
        <v>99820</v>
      </c>
      <c r="K4" s="250"/>
      <c r="L4" s="251" t="s">
        <v>226</v>
      </c>
      <c r="M4" s="29">
        <f aca="true" t="shared" si="0" ref="M4:M67">IF(K4="◎",J4,"")</f>
      </c>
    </row>
    <row r="5" spans="1:13" ht="13.5" customHeight="1">
      <c r="A5" s="252"/>
      <c r="B5" s="253" t="s">
        <v>285</v>
      </c>
      <c r="C5" s="254" t="s">
        <v>287</v>
      </c>
      <c r="D5" s="255">
        <v>2</v>
      </c>
      <c r="E5" s="257" t="s">
        <v>272</v>
      </c>
      <c r="F5" s="257" t="s">
        <v>273</v>
      </c>
      <c r="G5" s="258">
        <v>3000</v>
      </c>
      <c r="H5" s="259">
        <v>1</v>
      </c>
      <c r="I5" s="259">
        <v>1</v>
      </c>
      <c r="J5" s="260">
        <f>G5*H5*I5</f>
        <v>3000</v>
      </c>
      <c r="K5" s="261"/>
      <c r="L5" s="262"/>
      <c r="M5" s="29">
        <f t="shared" si="0"/>
      </c>
    </row>
    <row r="6" spans="1:13" ht="13.5" customHeight="1">
      <c r="A6" s="252"/>
      <c r="B6" s="253" t="s">
        <v>285</v>
      </c>
      <c r="C6" s="263" t="s">
        <v>287</v>
      </c>
      <c r="D6" s="255">
        <v>3</v>
      </c>
      <c r="E6" s="276" t="s">
        <v>272</v>
      </c>
      <c r="F6" s="257" t="s">
        <v>275</v>
      </c>
      <c r="G6" s="258">
        <v>2000</v>
      </c>
      <c r="H6" s="259">
        <v>1</v>
      </c>
      <c r="I6" s="259">
        <v>1</v>
      </c>
      <c r="J6" s="260">
        <f aca="true" t="shared" si="1" ref="J6:J69">G6*H6*I6</f>
        <v>2000</v>
      </c>
      <c r="K6" s="261"/>
      <c r="L6" s="262"/>
      <c r="M6" s="29">
        <f t="shared" si="0"/>
      </c>
    </row>
    <row r="7" spans="1:13" ht="13.5" customHeight="1">
      <c r="A7" s="252"/>
      <c r="B7" s="253" t="s">
        <v>284</v>
      </c>
      <c r="C7" s="254" t="s">
        <v>286</v>
      </c>
      <c r="D7" s="255">
        <v>4</v>
      </c>
      <c r="E7" s="276" t="s">
        <v>290</v>
      </c>
      <c r="F7" s="257" t="s">
        <v>276</v>
      </c>
      <c r="G7" s="258">
        <v>8000</v>
      </c>
      <c r="H7" s="259">
        <v>1</v>
      </c>
      <c r="I7" s="259">
        <v>1</v>
      </c>
      <c r="J7" s="260">
        <f t="shared" si="1"/>
        <v>8000</v>
      </c>
      <c r="K7" s="261"/>
      <c r="L7" s="262"/>
      <c r="M7" s="29">
        <f t="shared" si="0"/>
      </c>
    </row>
    <row r="8" spans="1:13" ht="13.5" customHeight="1">
      <c r="A8" s="252"/>
      <c r="B8" s="253" t="s">
        <v>281</v>
      </c>
      <c r="C8" s="254" t="s">
        <v>289</v>
      </c>
      <c r="D8" s="264">
        <v>5</v>
      </c>
      <c r="E8" s="257" t="s">
        <v>291</v>
      </c>
      <c r="F8" s="257" t="s">
        <v>292</v>
      </c>
      <c r="G8" s="258">
        <v>4000</v>
      </c>
      <c r="H8" s="259">
        <v>1</v>
      </c>
      <c r="I8" s="259">
        <v>1</v>
      </c>
      <c r="J8" s="260">
        <f t="shared" si="1"/>
        <v>4000</v>
      </c>
      <c r="K8" s="261"/>
      <c r="L8" s="262"/>
      <c r="M8" s="29">
        <f t="shared" si="0"/>
      </c>
    </row>
    <row r="9" spans="1:13" ht="13.5" customHeight="1">
      <c r="A9" s="252"/>
      <c r="B9" s="253" t="s">
        <v>295</v>
      </c>
      <c r="C9" s="254" t="s">
        <v>283</v>
      </c>
      <c r="D9" s="255">
        <v>6</v>
      </c>
      <c r="E9" s="265" t="s">
        <v>85</v>
      </c>
      <c r="F9" s="276" t="s">
        <v>288</v>
      </c>
      <c r="G9" s="258">
        <v>20000</v>
      </c>
      <c r="H9" s="259">
        <v>1</v>
      </c>
      <c r="I9" s="259">
        <v>2</v>
      </c>
      <c r="J9" s="260">
        <f t="shared" si="1"/>
        <v>40000</v>
      </c>
      <c r="K9" s="261"/>
      <c r="L9" s="262"/>
      <c r="M9" s="29">
        <f t="shared" si="0"/>
      </c>
    </row>
    <row r="10" spans="1:13" ht="13.5" customHeight="1">
      <c r="A10" s="252"/>
      <c r="B10" s="253" t="s">
        <v>296</v>
      </c>
      <c r="C10" s="254" t="s">
        <v>289</v>
      </c>
      <c r="D10" s="255">
        <v>7</v>
      </c>
      <c r="E10" s="257" t="s">
        <v>85</v>
      </c>
      <c r="F10" s="257" t="s">
        <v>293</v>
      </c>
      <c r="G10" s="258">
        <v>52500</v>
      </c>
      <c r="H10" s="259">
        <v>2</v>
      </c>
      <c r="I10" s="259">
        <v>1</v>
      </c>
      <c r="J10" s="260">
        <f t="shared" si="1"/>
        <v>105000</v>
      </c>
      <c r="K10" s="261"/>
      <c r="L10" s="262"/>
      <c r="M10" s="29">
        <f t="shared" si="0"/>
      </c>
    </row>
    <row r="11" spans="1:13" ht="13.5" customHeight="1">
      <c r="A11" s="252"/>
      <c r="B11" s="253" t="s">
        <v>282</v>
      </c>
      <c r="C11" s="254" t="s">
        <v>289</v>
      </c>
      <c r="D11" s="264">
        <v>8</v>
      </c>
      <c r="E11" s="265" t="s">
        <v>274</v>
      </c>
      <c r="F11" s="265" t="s">
        <v>305</v>
      </c>
      <c r="G11" s="266">
        <v>50180</v>
      </c>
      <c r="H11" s="267">
        <v>1</v>
      </c>
      <c r="I11" s="267">
        <v>1</v>
      </c>
      <c r="J11" s="260">
        <f t="shared" si="1"/>
        <v>50180</v>
      </c>
      <c r="K11" s="268"/>
      <c r="L11" s="269"/>
      <c r="M11" s="29">
        <f t="shared" si="0"/>
      </c>
    </row>
    <row r="12" spans="1:13" ht="13.5" customHeight="1">
      <c r="A12" s="252"/>
      <c r="B12" s="253" t="s">
        <v>297</v>
      </c>
      <c r="C12" s="254" t="s">
        <v>309</v>
      </c>
      <c r="D12" s="264">
        <v>9</v>
      </c>
      <c r="E12" s="256" t="s">
        <v>300</v>
      </c>
      <c r="F12" s="256" t="s">
        <v>294</v>
      </c>
      <c r="G12" s="270">
        <v>34000</v>
      </c>
      <c r="H12" s="271">
        <v>22</v>
      </c>
      <c r="I12" s="271">
        <v>1</v>
      </c>
      <c r="J12" s="260">
        <f t="shared" si="1"/>
        <v>748000</v>
      </c>
      <c r="K12" s="272"/>
      <c r="L12" s="273"/>
      <c r="M12" s="29">
        <f t="shared" si="0"/>
      </c>
    </row>
    <row r="13" spans="1:13" ht="13.5" customHeight="1">
      <c r="A13" s="252"/>
      <c r="B13" s="253" t="s">
        <v>298</v>
      </c>
      <c r="C13" s="254" t="s">
        <v>299</v>
      </c>
      <c r="D13" s="274">
        <v>10</v>
      </c>
      <c r="E13" s="256" t="s">
        <v>301</v>
      </c>
      <c r="F13" s="256" t="s">
        <v>302</v>
      </c>
      <c r="G13" s="270">
        <v>130000</v>
      </c>
      <c r="H13" s="271">
        <v>1</v>
      </c>
      <c r="I13" s="271">
        <v>1</v>
      </c>
      <c r="J13" s="260">
        <f t="shared" si="1"/>
        <v>130000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3"/>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602" t="s">
        <v>176</v>
      </c>
      <c r="I106" s="602"/>
      <c r="J106" s="602" t="s">
        <v>173</v>
      </c>
      <c r="K106" s="607"/>
    </row>
    <row r="107" spans="4:11" ht="14.25" thickTop="1">
      <c r="D107" s="67"/>
      <c r="F107" s="297" t="s">
        <v>85</v>
      </c>
      <c r="G107" s="227">
        <f>SUMIF($E$4:$E$103,F107,$J$4:$J$103)</f>
        <v>145000</v>
      </c>
      <c r="H107" s="603">
        <f>SUMIF($E$4:$E$103,F107,$M$4:$M$103)</f>
        <v>0</v>
      </c>
      <c r="I107" s="603"/>
      <c r="J107" s="603">
        <f aca="true" t="shared" si="5" ref="J107:J115">G107-H107</f>
        <v>145000</v>
      </c>
      <c r="K107" s="608"/>
    </row>
    <row r="108" spans="4:11" ht="13.5">
      <c r="D108" s="67"/>
      <c r="F108" s="298" t="s">
        <v>86</v>
      </c>
      <c r="G108" s="227">
        <f aca="true" t="shared" si="6" ref="G108:G115">SUMIF($E$4:$E$103,F108,$J$4:$J$103)</f>
        <v>50180</v>
      </c>
      <c r="H108" s="604">
        <f aca="true" t="shared" si="7" ref="H108:H114">SUMIF($E$4:$E$103,F108,$M$4:$M$103)</f>
        <v>0</v>
      </c>
      <c r="I108" s="604"/>
      <c r="J108" s="604">
        <f t="shared" si="5"/>
        <v>50180</v>
      </c>
      <c r="K108" s="609"/>
    </row>
    <row r="109" spans="4:11" ht="13.5">
      <c r="D109" s="67"/>
      <c r="F109" s="298" t="s">
        <v>125</v>
      </c>
      <c r="G109" s="227">
        <f t="shared" si="6"/>
        <v>878000</v>
      </c>
      <c r="H109" s="604">
        <f t="shared" si="7"/>
        <v>0</v>
      </c>
      <c r="I109" s="604"/>
      <c r="J109" s="604">
        <f t="shared" si="5"/>
        <v>878000</v>
      </c>
      <c r="K109" s="609"/>
    </row>
    <row r="110" spans="4:11" ht="13.5">
      <c r="D110" s="67"/>
      <c r="F110" s="298" t="s">
        <v>126</v>
      </c>
      <c r="G110" s="227">
        <f t="shared" si="6"/>
        <v>0</v>
      </c>
      <c r="H110" s="604">
        <f t="shared" si="7"/>
        <v>0</v>
      </c>
      <c r="I110" s="604"/>
      <c r="J110" s="604">
        <f t="shared" si="5"/>
        <v>0</v>
      </c>
      <c r="K110" s="609"/>
    </row>
    <row r="111" spans="4:11" ht="13.5">
      <c r="D111" s="67"/>
      <c r="F111" s="298" t="s">
        <v>87</v>
      </c>
      <c r="G111" s="227">
        <f t="shared" si="6"/>
        <v>0</v>
      </c>
      <c r="H111" s="604">
        <f t="shared" si="7"/>
        <v>0</v>
      </c>
      <c r="I111" s="604"/>
      <c r="J111" s="604">
        <f t="shared" si="5"/>
        <v>0</v>
      </c>
      <c r="K111" s="609"/>
    </row>
    <row r="112" spans="4:11" ht="13.5">
      <c r="D112" s="67"/>
      <c r="F112" s="298" t="s">
        <v>88</v>
      </c>
      <c r="G112" s="227">
        <f t="shared" si="6"/>
        <v>0</v>
      </c>
      <c r="H112" s="604">
        <f t="shared" si="7"/>
        <v>0</v>
      </c>
      <c r="I112" s="604"/>
      <c r="J112" s="604">
        <f t="shared" si="5"/>
        <v>0</v>
      </c>
      <c r="K112" s="609"/>
    </row>
    <row r="113" spans="4:11" ht="13.5">
      <c r="D113" s="67"/>
      <c r="F113" s="298" t="s">
        <v>89</v>
      </c>
      <c r="G113" s="227">
        <f t="shared" si="6"/>
        <v>0</v>
      </c>
      <c r="H113" s="604">
        <f t="shared" si="7"/>
        <v>0</v>
      </c>
      <c r="I113" s="604"/>
      <c r="J113" s="604">
        <f t="shared" si="5"/>
        <v>0</v>
      </c>
      <c r="K113" s="609"/>
    </row>
    <row r="114" spans="4:11" ht="13.5">
      <c r="D114" s="67"/>
      <c r="F114" s="298" t="s">
        <v>90</v>
      </c>
      <c r="G114" s="227">
        <f t="shared" si="6"/>
        <v>0</v>
      </c>
      <c r="H114" s="604">
        <f t="shared" si="7"/>
        <v>0</v>
      </c>
      <c r="I114" s="604"/>
      <c r="J114" s="604">
        <f t="shared" si="5"/>
        <v>0</v>
      </c>
      <c r="K114" s="609"/>
    </row>
    <row r="115" spans="4:11" ht="14.25" thickBot="1">
      <c r="D115" s="67"/>
      <c r="F115" s="428" t="s">
        <v>138</v>
      </c>
      <c r="G115" s="429">
        <f t="shared" si="6"/>
        <v>116820</v>
      </c>
      <c r="H115" s="605">
        <f>SUMIF($E$4:$E$103,F115,$M$4:$M$103)+'1-3'!F121</f>
        <v>11000</v>
      </c>
      <c r="I115" s="605"/>
      <c r="J115" s="605">
        <f t="shared" si="5"/>
        <v>105820</v>
      </c>
      <c r="K115" s="610"/>
    </row>
    <row r="116" spans="4:11" ht="15" thickBot="1" thickTop="1">
      <c r="D116" s="47"/>
      <c r="F116" s="426" t="s">
        <v>15</v>
      </c>
      <c r="G116" s="427">
        <f>SUM(G107:G115)</f>
        <v>1190000</v>
      </c>
      <c r="H116" s="606">
        <f>SUM(H107:I115)</f>
        <v>11000</v>
      </c>
      <c r="I116" s="606"/>
      <c r="J116" s="606">
        <f>SUM(J107:K115)</f>
        <v>1179000</v>
      </c>
      <c r="K116" s="61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30"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7" activePane="bottomLeft" state="frozen"/>
      <selection pane="topLeft" activeCell="B16" sqref="B16:K23"/>
      <selection pane="bottomLeft" activeCell="E82" sqref="E8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1" t="s">
        <v>258</v>
      </c>
      <c r="B1" s="591"/>
      <c r="C1" s="591"/>
      <c r="D1" s="591"/>
      <c r="E1" s="591"/>
      <c r="F1" s="591"/>
    </row>
    <row r="2" spans="1:6" ht="15" customHeight="1" thickBot="1">
      <c r="A2" s="8"/>
      <c r="B2" s="7" t="s">
        <v>244</v>
      </c>
      <c r="C2" s="87"/>
      <c r="E2" s="72" t="s">
        <v>185</v>
      </c>
      <c r="F2" s="464">
        <f>SUM(E4:E118)</f>
        <v>99820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271</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271</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10800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5000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2000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99820</v>
      </c>
    </row>
    <row r="121" spans="4:6" ht="15" customHeight="1">
      <c r="D121" s="80"/>
      <c r="E121" s="39" t="s">
        <v>176</v>
      </c>
      <c r="F121" s="183">
        <f>SUMIF(F4:F118,"◎",E4:E118)</f>
        <v>11000</v>
      </c>
    </row>
    <row r="122" spans="4:6" ht="15" customHeight="1" thickBot="1">
      <c r="D122" s="80"/>
      <c r="E122" s="82" t="s">
        <v>13</v>
      </c>
      <c r="F122" s="184">
        <f>F120-F121</f>
        <v>88820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35" t="s">
        <v>279</v>
      </c>
      <c r="I1" s="535"/>
      <c r="J1" s="535"/>
      <c r="K1" s="535"/>
    </row>
    <row r="2" spans="8:11" s="1" customFormat="1" ht="18" customHeight="1">
      <c r="H2" s="535" t="s">
        <v>280</v>
      </c>
      <c r="I2" s="535"/>
      <c r="J2" s="535"/>
      <c r="K2" s="535"/>
    </row>
    <row r="3" s="1" customFormat="1" ht="18" customHeight="1">
      <c r="K3" s="2"/>
    </row>
    <row r="4" spans="8:11" s="1" customFormat="1" ht="18" customHeight="1">
      <c r="H4" s="536" t="s">
        <v>303</v>
      </c>
      <c r="I4" s="536"/>
      <c r="J4" s="536"/>
      <c r="K4" s="536"/>
    </row>
    <row r="5" spans="8:11" s="1" customFormat="1" ht="18" customHeight="1">
      <c r="H5" s="537">
        <v>42976</v>
      </c>
      <c r="I5" s="536"/>
      <c r="J5" s="536"/>
      <c r="K5" s="536"/>
    </row>
    <row r="6" spans="1:11" s="1" customFormat="1" ht="18" customHeight="1">
      <c r="A6" s="3" t="s">
        <v>2</v>
      </c>
      <c r="H6" s="4"/>
      <c r="K6" s="11"/>
    </row>
    <row r="7" spans="1:11" s="1" customFormat="1" ht="18" customHeight="1">
      <c r="A7" s="4"/>
      <c r="H7" s="538" t="s">
        <v>277</v>
      </c>
      <c r="I7" s="538"/>
      <c r="J7" s="538"/>
      <c r="K7" s="538"/>
    </row>
    <row r="8" spans="1:11" s="1" customFormat="1" ht="18" customHeight="1">
      <c r="A8" s="4"/>
      <c r="H8" s="538" t="s">
        <v>278</v>
      </c>
      <c r="I8" s="538"/>
      <c r="J8" s="538"/>
      <c r="K8" s="538"/>
    </row>
    <row r="9" spans="1:11" s="1" customFormat="1" ht="42" customHeight="1">
      <c r="A9" s="4"/>
      <c r="H9" s="2"/>
      <c r="K9" s="46"/>
    </row>
    <row r="10" spans="1:11" ht="24" customHeight="1">
      <c r="A10" s="539" t="s">
        <v>259</v>
      </c>
      <c r="B10" s="539"/>
      <c r="C10" s="539"/>
      <c r="D10" s="539"/>
      <c r="E10" s="539"/>
      <c r="F10" s="539"/>
      <c r="G10" s="539"/>
      <c r="H10" s="539"/>
      <c r="I10" s="539"/>
      <c r="J10" s="539"/>
      <c r="K10" s="539"/>
    </row>
    <row r="11" spans="1:11" ht="24" customHeight="1">
      <c r="A11" s="540"/>
      <c r="B11" s="540"/>
      <c r="C11" s="540"/>
      <c r="D11" s="540"/>
      <c r="E11" s="540"/>
      <c r="F11" s="540"/>
      <c r="G11" s="540"/>
      <c r="H11" s="540"/>
      <c r="I11" s="540"/>
      <c r="J11" s="540"/>
      <c r="K11" s="54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94" t="s">
        <v>84</v>
      </c>
      <c r="B14" s="595"/>
      <c r="C14" s="596"/>
      <c r="D14" s="612">
        <f>'1-1'!D14:F14</f>
        <v>1190000</v>
      </c>
      <c r="E14" s="613"/>
      <c r="F14" s="614"/>
      <c r="G14" s="615"/>
      <c r="H14" s="616"/>
      <c r="I14" s="616"/>
      <c r="J14" s="61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145000</v>
      </c>
      <c r="C16" s="225">
        <f>'随時②-1'!C20</f>
        <v>50180</v>
      </c>
      <c r="D16" s="225">
        <f>'随時②-1'!D20</f>
        <v>878000</v>
      </c>
      <c r="E16" s="225">
        <f>'随時②-1'!E20</f>
        <v>0</v>
      </c>
      <c r="F16" s="225">
        <f>'随時②-1'!F20</f>
        <v>0</v>
      </c>
      <c r="G16" s="225">
        <f>'随時②-1'!G20</f>
        <v>0</v>
      </c>
      <c r="H16" s="225">
        <f>'随時②-1'!H20</f>
        <v>0</v>
      </c>
      <c r="I16" s="225">
        <f>'随時②-1'!I20</f>
        <v>0</v>
      </c>
      <c r="J16" s="226">
        <f>'随時②-1'!J20</f>
        <v>116820</v>
      </c>
      <c r="K16" s="433">
        <f aca="true" t="shared" si="0" ref="K16:K26">SUM(B16:J16)</f>
        <v>1190000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145000</v>
      </c>
      <c r="C18" s="225">
        <f>C16-C17</f>
        <v>50180</v>
      </c>
      <c r="D18" s="225">
        <f aca="true" t="shared" si="1" ref="D18:J18">D16-D17</f>
        <v>878000</v>
      </c>
      <c r="E18" s="225">
        <f t="shared" si="1"/>
        <v>0</v>
      </c>
      <c r="F18" s="225">
        <f t="shared" si="1"/>
        <v>0</v>
      </c>
      <c r="G18" s="225">
        <f t="shared" si="1"/>
        <v>0</v>
      </c>
      <c r="H18" s="225">
        <f t="shared" si="1"/>
        <v>0</v>
      </c>
      <c r="I18" s="225">
        <f t="shared" si="1"/>
        <v>0</v>
      </c>
      <c r="J18" s="225">
        <f t="shared" si="1"/>
        <v>105820</v>
      </c>
      <c r="K18" s="433">
        <f t="shared" si="0"/>
        <v>1179000</v>
      </c>
    </row>
    <row r="19" spans="1:11" ht="39" customHeight="1" thickBot="1">
      <c r="A19" s="32" t="s">
        <v>174</v>
      </c>
      <c r="B19" s="441">
        <f>'2-2'!K142</f>
        <v>94000</v>
      </c>
      <c r="C19" s="442">
        <f>'2-2'!K143</f>
        <v>4240</v>
      </c>
      <c r="D19" s="442">
        <f>'2-2'!K144</f>
        <v>0</v>
      </c>
      <c r="E19" s="442">
        <f>'2-2'!K145</f>
        <v>0</v>
      </c>
      <c r="F19" s="442">
        <f>'2-2'!K146</f>
        <v>0</v>
      </c>
      <c r="G19" s="442">
        <f>'2-2'!K147</f>
        <v>0</v>
      </c>
      <c r="H19" s="442">
        <f>'2-2'!K148</f>
        <v>0</v>
      </c>
      <c r="I19" s="442">
        <f>'2-2'!K149</f>
        <v>0</v>
      </c>
      <c r="J19" s="446">
        <f>'2-2'!K150</f>
        <v>71170</v>
      </c>
      <c r="K19" s="443">
        <f t="shared" si="0"/>
        <v>169410</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2" t="s">
        <v>201</v>
      </c>
      <c r="B21" s="434">
        <f>B19-B20</f>
        <v>94000</v>
      </c>
      <c r="C21" s="322">
        <f>C19-C20</f>
        <v>4240</v>
      </c>
      <c r="D21" s="322">
        <f aca="true" t="shared" si="2" ref="D21:J21">D19-D20</f>
        <v>0</v>
      </c>
      <c r="E21" s="322">
        <f t="shared" si="2"/>
        <v>0</v>
      </c>
      <c r="F21" s="322">
        <f t="shared" si="2"/>
        <v>0</v>
      </c>
      <c r="G21" s="322">
        <f t="shared" si="2"/>
        <v>0</v>
      </c>
      <c r="H21" s="322">
        <f t="shared" si="2"/>
        <v>0</v>
      </c>
      <c r="I21" s="322">
        <f t="shared" si="2"/>
        <v>0</v>
      </c>
      <c r="J21" s="322">
        <f t="shared" si="2"/>
        <v>60170</v>
      </c>
      <c r="K21" s="436">
        <f t="shared" si="0"/>
        <v>158410</v>
      </c>
    </row>
    <row r="22" spans="1:11" ht="39" customHeight="1" thickBot="1">
      <c r="A22" s="32" t="s">
        <v>117</v>
      </c>
      <c r="B22" s="441">
        <f>B18-B21</f>
        <v>51000</v>
      </c>
      <c r="C22" s="441">
        <f aca="true" t="shared" si="3" ref="C22:J22">C18-C21</f>
        <v>45940</v>
      </c>
      <c r="D22" s="441">
        <f t="shared" si="3"/>
        <v>878000</v>
      </c>
      <c r="E22" s="441">
        <f t="shared" si="3"/>
        <v>0</v>
      </c>
      <c r="F22" s="441">
        <f t="shared" si="3"/>
        <v>0</v>
      </c>
      <c r="G22" s="441">
        <f t="shared" si="3"/>
        <v>0</v>
      </c>
      <c r="H22" s="441">
        <f t="shared" si="3"/>
        <v>0</v>
      </c>
      <c r="I22" s="441">
        <f t="shared" si="3"/>
        <v>0</v>
      </c>
      <c r="J22" s="441">
        <f t="shared" si="3"/>
        <v>45650</v>
      </c>
      <c r="K22" s="443">
        <f t="shared" si="0"/>
        <v>1020590</v>
      </c>
    </row>
    <row r="23" spans="1:11" ht="39" customHeight="1">
      <c r="A23" s="30" t="s">
        <v>167</v>
      </c>
      <c r="B23" s="225">
        <f>'2-4'!G107</f>
        <v>51000</v>
      </c>
      <c r="C23" s="225">
        <f>'2-4'!G108</f>
        <v>9950</v>
      </c>
      <c r="D23" s="225">
        <f>'2-4'!G109</f>
        <v>761794</v>
      </c>
      <c r="E23" s="225">
        <f>'2-4'!G110</f>
        <v>0</v>
      </c>
      <c r="F23" s="225">
        <f>'2-4'!G111</f>
        <v>0</v>
      </c>
      <c r="G23" s="225">
        <f>'2-4'!G112</f>
        <v>0</v>
      </c>
      <c r="H23" s="225">
        <f>'2-4'!G113</f>
        <v>0</v>
      </c>
      <c r="I23" s="225">
        <f>'2-4'!G114</f>
        <v>117720</v>
      </c>
      <c r="J23" s="225">
        <f>'2-4'!G115</f>
        <v>39920</v>
      </c>
      <c r="K23" s="433">
        <f t="shared" si="0"/>
        <v>980384</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0</v>
      </c>
      <c r="C25" s="434">
        <f aca="true" t="shared" si="4" ref="C25:J25">C23-C24-C22</f>
        <v>-35990</v>
      </c>
      <c r="D25" s="434">
        <f t="shared" si="4"/>
        <v>-116206</v>
      </c>
      <c r="E25" s="434">
        <f t="shared" si="4"/>
        <v>0</v>
      </c>
      <c r="F25" s="434">
        <f t="shared" si="4"/>
        <v>0</v>
      </c>
      <c r="G25" s="434">
        <f t="shared" si="4"/>
        <v>0</v>
      </c>
      <c r="H25" s="434">
        <f t="shared" si="4"/>
        <v>0</v>
      </c>
      <c r="I25" s="434">
        <f t="shared" si="4"/>
        <v>117720</v>
      </c>
      <c r="J25" s="434">
        <f t="shared" si="4"/>
        <v>-5730</v>
      </c>
      <c r="K25" s="436">
        <f t="shared" si="0"/>
        <v>-40206</v>
      </c>
    </row>
    <row r="26" spans="1:11" ht="39" customHeight="1" thickBot="1">
      <c r="A26" s="22" t="s">
        <v>118</v>
      </c>
      <c r="B26" s="220">
        <f>B19+B23</f>
        <v>145000</v>
      </c>
      <c r="C26" s="220">
        <f aca="true" t="shared" si="5" ref="C26:J26">C19+C23</f>
        <v>14190</v>
      </c>
      <c r="D26" s="220">
        <f t="shared" si="5"/>
        <v>761794</v>
      </c>
      <c r="E26" s="220">
        <f t="shared" si="5"/>
        <v>0</v>
      </c>
      <c r="F26" s="220">
        <f t="shared" si="5"/>
        <v>0</v>
      </c>
      <c r="G26" s="220">
        <f t="shared" si="5"/>
        <v>0</v>
      </c>
      <c r="H26" s="220">
        <f t="shared" si="5"/>
        <v>0</v>
      </c>
      <c r="I26" s="220">
        <f t="shared" si="5"/>
        <v>117720</v>
      </c>
      <c r="J26" s="220">
        <f t="shared" si="5"/>
        <v>111090</v>
      </c>
      <c r="K26" s="223">
        <f t="shared" si="0"/>
        <v>1149794</v>
      </c>
    </row>
    <row r="27" spans="1:11" ht="39" customHeight="1" thickBot="1">
      <c r="A27" s="32" t="s">
        <v>104</v>
      </c>
      <c r="B27" s="592" t="s">
        <v>122</v>
      </c>
      <c r="C27" s="592"/>
      <c r="D27" s="592"/>
      <c r="E27" s="592"/>
      <c r="F27" s="592"/>
      <c r="G27" s="592"/>
      <c r="H27" s="592"/>
      <c r="I27" s="592"/>
      <c r="J27" s="592"/>
      <c r="K27" s="5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30" operator="equal" stopIfTrue="1">
      <formula>0</formula>
    </cfRule>
  </conditionalFormatting>
  <conditionalFormatting sqref="B23:J24">
    <cfRule type="cellIs" priority="1" dxfId="30"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145" activePane="bottomRight" state="frozen"/>
      <selection pane="topLeft" activeCell="E23" sqref="E23"/>
      <selection pane="topRight" activeCell="E23" sqref="E23"/>
      <selection pane="bottomLeft" activeCell="E23" sqref="E23"/>
      <selection pane="bottomRight" activeCell="L24" sqref="L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24" t="s">
        <v>143</v>
      </c>
      <c r="G2" s="625"/>
      <c r="H2" s="625"/>
      <c r="I2" s="625"/>
      <c r="J2" s="625"/>
      <c r="K2" s="563" t="s">
        <v>115</v>
      </c>
      <c r="L2" s="561"/>
      <c r="M2" s="561"/>
      <c r="N2" s="561"/>
      <c r="O2" s="562"/>
      <c r="P2" s="13"/>
    </row>
    <row r="3" spans="1:21" ht="24" customHeight="1">
      <c r="A3" s="422" t="s">
        <v>141</v>
      </c>
      <c r="B3" s="300" t="s">
        <v>142</v>
      </c>
      <c r="C3" s="59" t="s">
        <v>144</v>
      </c>
      <c r="D3" s="96" t="s">
        <v>146</v>
      </c>
      <c r="E3" s="96" t="s">
        <v>0</v>
      </c>
      <c r="F3" s="96" t="s">
        <v>197</v>
      </c>
      <c r="G3" s="96" t="s">
        <v>91</v>
      </c>
      <c r="H3" s="470" t="s">
        <v>246</v>
      </c>
      <c r="I3" s="96" t="s">
        <v>92</v>
      </c>
      <c r="J3" s="96" t="s">
        <v>93</v>
      </c>
      <c r="K3" s="383" t="s">
        <v>199</v>
      </c>
      <c r="L3" s="384" t="s">
        <v>91</v>
      </c>
      <c r="M3" s="471" t="s">
        <v>246</v>
      </c>
      <c r="N3" s="384" t="s">
        <v>92</v>
      </c>
      <c r="O3" s="385" t="s">
        <v>93</v>
      </c>
      <c r="P3" s="228" t="s">
        <v>111</v>
      </c>
      <c r="Q3" s="296" t="s">
        <v>107</v>
      </c>
      <c r="R3" s="62" t="s">
        <v>148</v>
      </c>
      <c r="S3" s="61" t="s">
        <v>149</v>
      </c>
      <c r="T3" s="61" t="s">
        <v>150</v>
      </c>
      <c r="U3" s="61" t="s">
        <v>151</v>
      </c>
    </row>
    <row r="4" spans="1:21" ht="13.5" customHeight="1">
      <c r="A4" s="301">
        <f>'1-2'!A4</f>
        <v>0</v>
      </c>
      <c r="B4" s="302" t="str">
        <f>'1-2'!B4</f>
        <v>1(1)ウ</v>
      </c>
      <c r="C4" s="474" t="str">
        <f>'1-2'!C4</f>
        <v>授業改善に取り組む。</v>
      </c>
      <c r="D4" s="244">
        <v>1</v>
      </c>
      <c r="E4" s="303" t="str">
        <f>IF($R4=1,"",VLOOKUP($D4,'1-2'!$D$4:$L$103,2))</f>
        <v>負担金、補助及び交付金</v>
      </c>
      <c r="F4" s="303" t="str">
        <f>IF($R4=1,"取消し",VLOOKUP($D4,'1-2'!$D$4:$L$103,3))</f>
        <v>各種団体負担金（会費）</v>
      </c>
      <c r="G4" s="304">
        <f>IF($R4=1,,VLOOKUP($D4,'1-2'!$D$4:$L$103,4))</f>
        <v>99820</v>
      </c>
      <c r="H4" s="305">
        <f>IF($R4=1,,VLOOKUP($D4,'1-2'!$D$4:$L$103,5))</f>
        <v>1</v>
      </c>
      <c r="I4" s="305">
        <f>IF($R4=1,,VLOOKUP($D4,'1-2'!$D$4:$L$103,6))</f>
        <v>1</v>
      </c>
      <c r="J4" s="306">
        <f>IF($R4=1,,VLOOKUP($D4,'1-2'!$D$4:$L$103,7))</f>
        <v>99820</v>
      </c>
      <c r="K4" s="307" t="str">
        <f aca="true" t="shared" si="0" ref="K4:N5">F4</f>
        <v>各種団体負担金（会費）</v>
      </c>
      <c r="L4" s="308">
        <v>64170</v>
      </c>
      <c r="M4" s="309">
        <f t="shared" si="0"/>
        <v>1</v>
      </c>
      <c r="N4" s="309">
        <f t="shared" si="0"/>
        <v>1</v>
      </c>
      <c r="O4" s="310">
        <f>L4*M4*N4</f>
        <v>64170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1(1)ウ</v>
      </c>
      <c r="C5" s="475" t="str">
        <f>'1-2'!C5</f>
        <v>授業改善に取り組む。</v>
      </c>
      <c r="D5" s="255">
        <v>2</v>
      </c>
      <c r="E5" s="315" t="str">
        <f>IF($R5=1,"",VLOOKUP($D5,'1-2'!$D$4:$L$103,2))</f>
        <v>負担金、補助及び交付金</v>
      </c>
      <c r="F5" s="316" t="str">
        <f>IF($R5=1,"取消し",VLOOKUP($D5,'1-2'!$D$4:$L$103,3))</f>
        <v>全国特別支援学校校長会研究大会資料代</v>
      </c>
      <c r="G5" s="225">
        <f>IF($R5=1,,VLOOKUP($D5,'1-2'!$D$4:$L$103,4))</f>
        <v>3000</v>
      </c>
      <c r="H5" s="317">
        <f>IF($R5=1,,VLOOKUP($D5,'1-2'!$D$4:$L$103,5))</f>
        <v>1</v>
      </c>
      <c r="I5" s="317">
        <f>IF($R5=1,,VLOOKUP($D5,'1-2'!$D$4:$L$103,6))</f>
        <v>1</v>
      </c>
      <c r="J5" s="318">
        <f>IF($R5=1,,VLOOKUP($D5,'1-2'!$D$4:$L$103,7))</f>
        <v>3000</v>
      </c>
      <c r="K5" s="319" t="str">
        <f t="shared" si="0"/>
        <v>全国特別支援学校校長会研究大会資料代</v>
      </c>
      <c r="L5" s="320">
        <f t="shared" si="0"/>
        <v>3000</v>
      </c>
      <c r="M5" s="321">
        <f t="shared" si="0"/>
        <v>1</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0</v>
      </c>
      <c r="B6" s="314" t="str">
        <f>'1-2'!B6</f>
        <v>1(1)ウ</v>
      </c>
      <c r="C6" s="475" t="str">
        <f>'1-2'!C6</f>
        <v>授業改善に取り組む。</v>
      </c>
      <c r="D6" s="255">
        <v>3</v>
      </c>
      <c r="E6" s="315" t="str">
        <f>IF($R6=1,"",VLOOKUP($D6,'1-2'!$D$4:$L$103,2))</f>
        <v>負担金、補助及び交付金</v>
      </c>
      <c r="F6" s="316" t="str">
        <f>IF($R6=1,"取消し",VLOOKUP($D6,'1-2'!$D$4:$L$103,3))</f>
        <v>府立人研夏季セミナー参加費</v>
      </c>
      <c r="G6" s="225">
        <f>IF($R6=1,,VLOOKUP($D6,'1-2'!$D$4:$L$103,4))</f>
        <v>2000</v>
      </c>
      <c r="H6" s="317">
        <f>IF($R6=1,,VLOOKUP($D6,'1-2'!$D$4:$L$103,5))</f>
        <v>1</v>
      </c>
      <c r="I6" s="317">
        <f>IF($R6=1,,VLOOKUP($D6,'1-2'!$D$4:$L$103,6))</f>
        <v>1</v>
      </c>
      <c r="J6" s="318">
        <f>IF($R6=1,,VLOOKUP($D6,'1-2'!$D$4:$L$103,7))</f>
        <v>2000</v>
      </c>
      <c r="K6" s="319" t="str">
        <f aca="true" t="shared" si="5" ref="K6:K69">F6</f>
        <v>府立人研夏季セミナー参加費</v>
      </c>
      <c r="L6" s="320">
        <v>0</v>
      </c>
      <c r="M6" s="321">
        <f aca="true" t="shared" si="6" ref="L6:N10">H6</f>
        <v>1</v>
      </c>
      <c r="N6" s="321">
        <f t="shared" si="6"/>
        <v>1</v>
      </c>
      <c r="O6" s="310">
        <f t="shared" si="2"/>
        <v>0</v>
      </c>
      <c r="P6" s="311">
        <f>IF($R6=1,"",VLOOKUP($D6,'1-2'!$D$4:$L$103,8))</f>
        <v>0</v>
      </c>
      <c r="Q6" s="312">
        <f>IF($R6=1,"",VLOOKUP($D6,'1-2'!$D$4:$L$103,9))</f>
        <v>0</v>
      </c>
      <c r="R6" s="25">
        <f>IF(ISNA(MATCH($D6,'随時②-2'!$D$4:$D$18,0)),0,1)</f>
        <v>0</v>
      </c>
      <c r="S6" s="63">
        <f t="shared" si="1"/>
      </c>
      <c r="T6" s="63">
        <f t="shared" si="3"/>
      </c>
      <c r="U6" s="5">
        <f t="shared" si="4"/>
        <v>9</v>
      </c>
      <c r="V6" s="5" t="s">
        <v>153</v>
      </c>
      <c r="W6" s="5">
        <v>4</v>
      </c>
    </row>
    <row r="7" spans="1:23" ht="13.5" customHeight="1">
      <c r="A7" s="313">
        <f>'1-2'!A7</f>
        <v>0</v>
      </c>
      <c r="B7" s="314" t="str">
        <f>'1-2'!B7</f>
        <v>1(1)ウ</v>
      </c>
      <c r="C7" s="475" t="str">
        <f>'1-2'!C7</f>
        <v>授業改善に取り組む。</v>
      </c>
      <c r="D7" s="255">
        <v>4</v>
      </c>
      <c r="E7" s="315" t="str">
        <f>IF($R7=1,"",VLOOKUP($D7,'1-2'!$D$4:$L$103,2))</f>
        <v>負担金、補助及び交付金</v>
      </c>
      <c r="F7" s="316" t="str">
        <f>IF($R7=1,"取消し",VLOOKUP($D7,'1-2'!$D$4:$L$103,3))</f>
        <v>自閉症スペクトラム症への認知発達治療参加費</v>
      </c>
      <c r="G7" s="225">
        <f>IF($R7=1,,VLOOKUP($D7,'1-2'!$D$4:$L$103,4))</f>
        <v>8000</v>
      </c>
      <c r="H7" s="317">
        <f>IF($R7=1,,VLOOKUP($D7,'1-2'!$D$4:$L$103,5))</f>
        <v>1</v>
      </c>
      <c r="I7" s="317">
        <f>IF($R7=1,,VLOOKUP($D7,'1-2'!$D$4:$L$103,6))</f>
        <v>1</v>
      </c>
      <c r="J7" s="318">
        <f>IF($R7=1,,VLOOKUP($D7,'1-2'!$D$4:$L$103,7))</f>
        <v>8000</v>
      </c>
      <c r="K7" s="319" t="str">
        <f t="shared" si="5"/>
        <v>自閉症スペクトラム症への認知発達治療参加費</v>
      </c>
      <c r="L7" s="320"/>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f>'1-2'!A8</f>
        <v>0</v>
      </c>
      <c r="B8" s="314" t="str">
        <f>'1-2'!B8</f>
        <v>1(1)イ</v>
      </c>
      <c r="C8" s="475" t="str">
        <f>'1-2'!C8</f>
        <v>アセスメント、自閉症、知的障がいの理解について研修に取り組む。</v>
      </c>
      <c r="D8" s="264">
        <v>5</v>
      </c>
      <c r="E8" s="315" t="str">
        <f>IF($R8=1,"",VLOOKUP($D8,'1-2'!$D$4:$L$103,2))</f>
        <v>負担金、補助及び交付金</v>
      </c>
      <c r="F8" s="316" t="str">
        <f>IF($R8=1,"取消し",VLOOKUP($D8,'1-2'!$D$4:$L$103,3))</f>
        <v>養護教諭キャリアアップ研修会参加費</v>
      </c>
      <c r="G8" s="225">
        <f>IF($R8=1,,VLOOKUP($D8,'1-2'!$D$4:$L$103,4))</f>
        <v>4000</v>
      </c>
      <c r="H8" s="317">
        <f>IF($R8=1,,VLOOKUP($D8,'1-2'!$D$4:$L$103,5))</f>
        <v>1</v>
      </c>
      <c r="I8" s="317">
        <f>IF($R8=1,,VLOOKUP($D8,'1-2'!$D$4:$L$103,6))</f>
        <v>1</v>
      </c>
      <c r="J8" s="318">
        <f>IF($R8=1,,VLOOKUP($D8,'1-2'!$D$4:$L$103,7))</f>
        <v>4000</v>
      </c>
      <c r="K8" s="319" t="str">
        <f t="shared" si="5"/>
        <v>養護教諭キャリアアップ研修会参加費</v>
      </c>
      <c r="L8" s="320">
        <f>G8</f>
        <v>4000</v>
      </c>
      <c r="M8" s="321">
        <f t="shared" si="6"/>
        <v>1</v>
      </c>
      <c r="N8" s="321">
        <f t="shared" si="6"/>
        <v>1</v>
      </c>
      <c r="O8" s="310">
        <f t="shared" si="2"/>
        <v>4000</v>
      </c>
      <c r="P8" s="311">
        <f>IF($R8=1,"",VLOOKUP($D8,'1-2'!$D$4:$L$103,8))</f>
        <v>0</v>
      </c>
      <c r="Q8" s="312">
        <f>IF($R8=1,"",VLOOKUP($D8,'1-2'!$D$4:$L$103,9))</f>
        <v>0</v>
      </c>
      <c r="R8" s="25">
        <f>IF(ISNA(MATCH($D8,'随時②-2'!$D$4:$D$18,0)),0,1)</f>
        <v>0</v>
      </c>
      <c r="S8" s="63">
        <f t="shared" si="1"/>
      </c>
      <c r="T8" s="63">
        <f t="shared" si="3"/>
      </c>
      <c r="U8" s="5">
        <f t="shared" si="4"/>
        <v>9</v>
      </c>
      <c r="V8" s="5" t="s">
        <v>155</v>
      </c>
      <c r="W8" s="5">
        <v>3</v>
      </c>
    </row>
    <row r="9" spans="1:23" ht="13.5" customHeight="1">
      <c r="A9" s="313">
        <f>'1-2'!A9</f>
        <v>0</v>
      </c>
      <c r="B9" s="314" t="str">
        <f>'1-2'!B9</f>
        <v>1(1)イ</v>
      </c>
      <c r="C9" s="475" t="str">
        <f>'1-2'!C9</f>
        <v>アセスメント、自閉症、知的障がいの理解について研修に取り組む。</v>
      </c>
      <c r="D9" s="255">
        <v>6</v>
      </c>
      <c r="E9" s="315" t="str">
        <f>IF($R9=1,"",VLOOKUP($D9,'1-2'!$D$4:$L$103,2))</f>
        <v>報償費</v>
      </c>
      <c r="F9" s="316" t="str">
        <f>IF($R9=1,"取消し",VLOOKUP($D9,'1-2'!$D$4:$L$103,3))</f>
        <v>保護者対応研修会講師謝金（教員対象）</v>
      </c>
      <c r="G9" s="225">
        <f>IF($R9=1,,VLOOKUP($D9,'1-2'!$D$4:$L$103,4))</f>
        <v>20000</v>
      </c>
      <c r="H9" s="317">
        <f>IF($R9=1,,VLOOKUP($D9,'1-2'!$D$4:$L$103,5))</f>
        <v>1</v>
      </c>
      <c r="I9" s="317">
        <f>IF($R9=1,,VLOOKUP($D9,'1-2'!$D$4:$L$103,6))</f>
        <v>2</v>
      </c>
      <c r="J9" s="318">
        <f>IF($R9=1,,VLOOKUP($D9,'1-2'!$D$4:$L$103,7))</f>
        <v>40000</v>
      </c>
      <c r="K9" s="319" t="str">
        <f t="shared" si="5"/>
        <v>保護者対応研修会講師謝金（教員対象）</v>
      </c>
      <c r="L9" s="320">
        <f t="shared" si="6"/>
        <v>20000</v>
      </c>
      <c r="M9" s="321">
        <f t="shared" si="6"/>
        <v>1</v>
      </c>
      <c r="N9" s="321">
        <f t="shared" si="6"/>
        <v>2</v>
      </c>
      <c r="O9" s="310">
        <f t="shared" si="2"/>
        <v>40000</v>
      </c>
      <c r="P9" s="311">
        <f>IF($R9=1,"",VLOOKUP($D9,'1-2'!$D$4:$L$103,8))</f>
        <v>0</v>
      </c>
      <c r="Q9" s="312">
        <f>IF($R9=1,"",VLOOKUP($D9,'1-2'!$D$4:$L$103,9))</f>
        <v>0</v>
      </c>
      <c r="R9" s="25">
        <f>IF(ISNA(MATCH($D9,'随時②-2'!$D$4:$D$18,0)),0,1)</f>
        <v>0</v>
      </c>
      <c r="S9" s="63">
        <f t="shared" si="1"/>
      </c>
      <c r="T9" s="63">
        <f t="shared" si="3"/>
      </c>
      <c r="U9" s="5">
        <f t="shared" si="4"/>
        <v>1</v>
      </c>
      <c r="V9" s="5" t="s">
        <v>156</v>
      </c>
      <c r="W9" s="5">
        <v>8</v>
      </c>
    </row>
    <row r="10" spans="1:23" ht="13.5" customHeight="1">
      <c r="A10" s="313">
        <f>'1-2'!A10</f>
        <v>0</v>
      </c>
      <c r="B10" s="314" t="str">
        <f>'1-2'!B10</f>
        <v>1(1)イ</v>
      </c>
      <c r="C10" s="475" t="str">
        <f>'1-2'!C10</f>
        <v>アセスメント、自閉症、知的障がいの理解について研修に取り組む。</v>
      </c>
      <c r="D10" s="255">
        <v>7</v>
      </c>
      <c r="E10" s="315" t="str">
        <f>IF($R10=1,"",VLOOKUP($D10,'1-2'!$D$4:$L$103,2))</f>
        <v>報償費</v>
      </c>
      <c r="F10" s="316" t="str">
        <f>IF($R10=1,"取消し",VLOOKUP($D10,'1-2'!$D$4:$L$103,3))</f>
        <v>支援教育研修会講師謝金（教員対象）</v>
      </c>
      <c r="G10" s="225">
        <f>IF($R10=1,,VLOOKUP($D10,'1-2'!$D$4:$L$103,4))</f>
        <v>52500</v>
      </c>
      <c r="H10" s="317">
        <f>IF($R10=1,,VLOOKUP($D10,'1-2'!$D$4:$L$103,5))</f>
        <v>2</v>
      </c>
      <c r="I10" s="317">
        <f>IF($R10=1,,VLOOKUP($D10,'1-2'!$D$4:$L$103,6))</f>
        <v>1</v>
      </c>
      <c r="J10" s="318">
        <f>IF($R10=1,,VLOOKUP($D10,'1-2'!$D$4:$L$103,7))</f>
        <v>105000</v>
      </c>
      <c r="K10" s="319" t="str">
        <f t="shared" si="5"/>
        <v>支援教育研修会講師謝金（教員対象）</v>
      </c>
      <c r="L10" s="320">
        <v>27000</v>
      </c>
      <c r="M10" s="321">
        <f t="shared" si="6"/>
        <v>2</v>
      </c>
      <c r="N10" s="321">
        <f t="shared" si="6"/>
        <v>1</v>
      </c>
      <c r="O10" s="310">
        <f t="shared" si="2"/>
        <v>54000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0</v>
      </c>
      <c r="B11" s="314" t="str">
        <f>'1-2'!B11</f>
        <v>1(1)イ</v>
      </c>
      <c r="C11" s="475" t="str">
        <f>'1-2'!C11</f>
        <v>アセスメント、自閉症、知的障がいの理解について研修に取り組む。</v>
      </c>
      <c r="D11" s="264">
        <v>8</v>
      </c>
      <c r="E11" s="315" t="str">
        <f>IF($R11=1,"",VLOOKUP($D11,'1-2'!$D$4:$L$103,2))</f>
        <v>旅費</v>
      </c>
      <c r="F11" s="316" t="str">
        <f>IF($R11=1,"取消し",VLOOKUP($D11,'1-2'!$D$4:$L$103,3))</f>
        <v>講師旅費</v>
      </c>
      <c r="G11" s="225">
        <f>IF($R11=1,,VLOOKUP($D11,'1-2'!$D$4:$L$103,4))</f>
        <v>50180</v>
      </c>
      <c r="H11" s="317">
        <f>IF($R11=1,,VLOOKUP($D11,'1-2'!$D$4:$L$103,5))</f>
        <v>1</v>
      </c>
      <c r="I11" s="317">
        <f>IF($R11=1,,VLOOKUP($D11,'1-2'!$D$4:$L$103,6))</f>
        <v>1</v>
      </c>
      <c r="J11" s="318">
        <f>IF($R11=1,,VLOOKUP($D11,'1-2'!$D$4:$L$103,7))</f>
        <v>50180</v>
      </c>
      <c r="K11" s="319" t="str">
        <f t="shared" si="5"/>
        <v>講師旅費</v>
      </c>
      <c r="L11" s="320">
        <v>4240</v>
      </c>
      <c r="M11" s="321">
        <f aca="true" t="shared" si="7" ref="M11:M74">H11</f>
        <v>1</v>
      </c>
      <c r="N11" s="321">
        <f aca="true" t="shared" si="8" ref="N11:N74">I11</f>
        <v>1</v>
      </c>
      <c r="O11" s="310">
        <f t="shared" si="2"/>
        <v>4240</v>
      </c>
      <c r="P11" s="311">
        <f>IF($R11=1,"",VLOOKUP($D11,'1-2'!$D$4:$L$103,8))</f>
        <v>0</v>
      </c>
      <c r="Q11" s="312">
        <f>IF($R11=1,"",VLOOKUP($D11,'1-2'!$D$4:$L$103,9))</f>
        <v>0</v>
      </c>
      <c r="R11" s="25">
        <f>IF(ISNA(MATCH($D11,'随時②-2'!$D$4:$D$18,0)),0,1)</f>
        <v>0</v>
      </c>
      <c r="S11" s="63">
        <f t="shared" si="1"/>
      </c>
      <c r="T11" s="63">
        <f t="shared" si="3"/>
      </c>
      <c r="U11" s="5">
        <f t="shared" si="4"/>
        <v>2</v>
      </c>
      <c r="V11" s="5" t="s">
        <v>157</v>
      </c>
      <c r="W11" s="5">
        <v>1</v>
      </c>
    </row>
    <row r="12" spans="1:23" ht="13.5" customHeight="1">
      <c r="A12" s="313">
        <f>'1-2'!A12</f>
        <v>0</v>
      </c>
      <c r="B12" s="314" t="str">
        <f>'1-2'!B12</f>
        <v>1(1)ウ</v>
      </c>
      <c r="C12" s="475" t="str">
        <f>'1-2'!C12</f>
        <v>授業改善に取り組む。</v>
      </c>
      <c r="D12" s="264">
        <v>9</v>
      </c>
      <c r="E12" s="315" t="str">
        <f>IF($R12=1,"",VLOOKUP($D12,'1-2'!$D$4:$L$103,2))</f>
        <v>消耗需用費</v>
      </c>
      <c r="F12" s="316" t="str">
        <f>IF($R12=1,"取消し",VLOOKUP($D12,'1-2'!$D$4:$L$103,3))</f>
        <v>授業用テレビ</v>
      </c>
      <c r="G12" s="225">
        <f>IF($R12=1,,VLOOKUP($D12,'1-2'!$D$4:$L$103,4))</f>
        <v>34000</v>
      </c>
      <c r="H12" s="317">
        <f>IF($R12=1,,VLOOKUP($D12,'1-2'!$D$4:$L$103,5))</f>
        <v>22</v>
      </c>
      <c r="I12" s="317">
        <f>IF($R12=1,,VLOOKUP($D12,'1-2'!$D$4:$L$103,6))</f>
        <v>1</v>
      </c>
      <c r="J12" s="318">
        <f>IF($R12=1,,VLOOKUP($D12,'1-2'!$D$4:$L$103,7))</f>
        <v>748000</v>
      </c>
      <c r="K12" s="319" t="str">
        <f t="shared" si="5"/>
        <v>授業用テレビ</v>
      </c>
      <c r="L12" s="320">
        <v>0</v>
      </c>
      <c r="M12" s="321">
        <v>0</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0</v>
      </c>
      <c r="B13" s="314" t="str">
        <f>'1-2'!B13</f>
        <v>1(1)ウ</v>
      </c>
      <c r="C13" s="475" t="str">
        <f>'1-2'!C13</f>
        <v>授業改善に取り組む。</v>
      </c>
      <c r="D13" s="274">
        <v>10</v>
      </c>
      <c r="E13" s="315" t="str">
        <f>IF($R13=1,"",VLOOKUP($D13,'1-2'!$D$4:$L$103,2))</f>
        <v>消耗需用費</v>
      </c>
      <c r="F13" s="316" t="str">
        <f>IF($R13=1,"取消し",VLOOKUP($D13,'1-2'!$D$4:$L$103,3))</f>
        <v>箱庭用具</v>
      </c>
      <c r="G13" s="225">
        <f>IF($R13=1,,VLOOKUP($D13,'1-2'!$D$4:$L$103,4))</f>
        <v>130000</v>
      </c>
      <c r="H13" s="317">
        <f>IF($R13=1,,VLOOKUP($D13,'1-2'!$D$4:$L$103,5))</f>
        <v>1</v>
      </c>
      <c r="I13" s="317">
        <f>IF($R13=1,,VLOOKUP($D13,'1-2'!$D$4:$L$103,6))</f>
        <v>1</v>
      </c>
      <c r="J13" s="318">
        <f>IF($R13=1,,VLOOKUP($D13,'1-2'!$D$4:$L$103,7))</f>
        <v>130000</v>
      </c>
      <c r="K13" s="319" t="str">
        <f t="shared" si="5"/>
        <v>箱庭用具</v>
      </c>
      <c r="L13" s="320">
        <v>0</v>
      </c>
      <c r="M13" s="321">
        <f t="shared" si="7"/>
        <v>1</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f>'1-2'!B14</f>
        <v>0</v>
      </c>
      <c r="C14" s="475">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aca="true" t="shared" si="9" ref="L14:L74">G14</f>
        <v>0</v>
      </c>
      <c r="M14" s="321">
        <f t="shared" si="7"/>
        <v>0</v>
      </c>
      <c r="N14" s="321">
        <f t="shared" si="8"/>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75">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75">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75">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75">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75">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75">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75">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75">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75">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75">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75">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75">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75">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75">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75">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75">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75">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5">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5">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5">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5">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5">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5">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5">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5">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5">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5">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5">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5">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5">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5">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5">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5">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5">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5">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5">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5">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5">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5">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5">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5">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5">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5">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5">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5">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5">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5">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5">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5">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5">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5">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5">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5">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5">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5">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5">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5">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5">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5">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5">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5">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5">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5">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5">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5">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5">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5">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5">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5">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5">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5">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5">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5">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5">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5">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5">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5">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5">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5">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5">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5">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5">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5">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5">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5">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5">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5">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5">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76">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77">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77">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77">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77">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77">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77">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77">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77">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77">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77">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77">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77">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77">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77">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77">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77">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77">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77">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77">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76">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77">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5">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5">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5">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5">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5">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5">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5">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5">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5">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5">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5">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5">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5">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5">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30" t="s">
        <v>178</v>
      </c>
      <c r="I141" s="631"/>
      <c r="J141" s="38" t="s">
        <v>113</v>
      </c>
      <c r="K141" s="38" t="s">
        <v>175</v>
      </c>
      <c r="L141" s="556" t="s">
        <v>176</v>
      </c>
      <c r="M141" s="632"/>
      <c r="N141" s="633" t="s">
        <v>177</v>
      </c>
      <c r="O141" s="634"/>
      <c r="P141" s="621" t="s">
        <v>114</v>
      </c>
      <c r="Q141" s="622"/>
    </row>
    <row r="142" spans="6:17" ht="14.25" thickTop="1">
      <c r="F142" s="347" t="s">
        <v>85</v>
      </c>
      <c r="G142" s="348">
        <f>SUMIF($E$4:$E$138,$F142,$J$4:$J$138)</f>
        <v>145000</v>
      </c>
      <c r="H142" s="635">
        <f>SUMIF($E$4:$E$138,$F142,$S$4:$S$138)</f>
        <v>0</v>
      </c>
      <c r="I142" s="636"/>
      <c r="J142" s="349">
        <f>G142-H142</f>
        <v>145000</v>
      </c>
      <c r="K142" s="348">
        <f>SUMIF($E$4:$E$138,$F142,$O$4:$O$138)</f>
        <v>94000</v>
      </c>
      <c r="L142" s="635">
        <f>SUMIF($E$4:$E$138,$F142,$T$4:$T$138)</f>
        <v>0</v>
      </c>
      <c r="M142" s="637"/>
      <c r="N142" s="638">
        <f>K142-L142</f>
        <v>94000</v>
      </c>
      <c r="O142" s="639"/>
      <c r="P142" s="583">
        <f>J142-N142</f>
        <v>51000</v>
      </c>
      <c r="Q142" s="623"/>
    </row>
    <row r="143" spans="6:17" ht="13.5">
      <c r="F143" s="347" t="s">
        <v>86</v>
      </c>
      <c r="G143" s="350">
        <f aca="true" t="shared" si="22" ref="G143:G150">SUMIF($E$4:$E$138,$F143,$J$4:$J$138)</f>
        <v>50180</v>
      </c>
      <c r="H143" s="574">
        <f>SUMIF($E$4:$E$138,$F143,$S$4:$S$138)</f>
        <v>0</v>
      </c>
      <c r="I143" s="628"/>
      <c r="J143" s="351">
        <f>G143-H143</f>
        <v>50180</v>
      </c>
      <c r="K143" s="348">
        <f aca="true" t="shared" si="23" ref="K143:K150">SUMIF($E$4:$E$138,$F143,$O$4:$O$138)</f>
        <v>4240</v>
      </c>
      <c r="L143" s="573">
        <f aca="true" t="shared" si="24" ref="L143:L149">SUMIF($E$4:$E$138,$F143,$T$4:$T$138)</f>
        <v>0</v>
      </c>
      <c r="M143" s="576"/>
      <c r="N143" s="629">
        <f>K143-L143</f>
        <v>4240</v>
      </c>
      <c r="O143" s="628"/>
      <c r="P143" s="573">
        <f aca="true" t="shared" si="25" ref="P143:P150">J143-N143</f>
        <v>45940</v>
      </c>
      <c r="Q143" s="576"/>
    </row>
    <row r="144" spans="6:17" ht="13.5">
      <c r="F144" s="347" t="s">
        <v>125</v>
      </c>
      <c r="G144" s="348">
        <f t="shared" si="22"/>
        <v>878000</v>
      </c>
      <c r="H144" s="574">
        <f aca="true" t="shared" si="26" ref="H144:H149">SUMIF($E$4:$E$138,$F144,$S$4:$S$138)</f>
        <v>0</v>
      </c>
      <c r="I144" s="628"/>
      <c r="J144" s="351">
        <f aca="true" t="shared" si="27" ref="J144:J150">G144-H144</f>
        <v>878000</v>
      </c>
      <c r="K144" s="348">
        <f t="shared" si="23"/>
        <v>0</v>
      </c>
      <c r="L144" s="573">
        <f t="shared" si="24"/>
        <v>0</v>
      </c>
      <c r="M144" s="576"/>
      <c r="N144" s="629">
        <f aca="true" t="shared" si="28" ref="N144:N150">K144-L144</f>
        <v>0</v>
      </c>
      <c r="O144" s="628"/>
      <c r="P144" s="573">
        <f t="shared" si="25"/>
        <v>878000</v>
      </c>
      <c r="Q144" s="576"/>
    </row>
    <row r="145" spans="6:17" ht="13.5">
      <c r="F145" s="347" t="s">
        <v>126</v>
      </c>
      <c r="G145" s="348">
        <f t="shared" si="22"/>
        <v>0</v>
      </c>
      <c r="H145" s="574">
        <f t="shared" si="26"/>
        <v>0</v>
      </c>
      <c r="I145" s="628"/>
      <c r="J145" s="351">
        <f t="shared" si="27"/>
        <v>0</v>
      </c>
      <c r="K145" s="348">
        <f t="shared" si="23"/>
        <v>0</v>
      </c>
      <c r="L145" s="573">
        <f t="shared" si="24"/>
        <v>0</v>
      </c>
      <c r="M145" s="576"/>
      <c r="N145" s="629">
        <f t="shared" si="28"/>
        <v>0</v>
      </c>
      <c r="O145" s="628"/>
      <c r="P145" s="573">
        <f t="shared" si="25"/>
        <v>0</v>
      </c>
      <c r="Q145" s="576"/>
    </row>
    <row r="146" spans="6:17" ht="13.5">
      <c r="F146" s="347" t="s">
        <v>87</v>
      </c>
      <c r="G146" s="348">
        <f t="shared" si="22"/>
        <v>0</v>
      </c>
      <c r="H146" s="574">
        <f t="shared" si="26"/>
        <v>0</v>
      </c>
      <c r="I146" s="628"/>
      <c r="J146" s="351">
        <f t="shared" si="27"/>
        <v>0</v>
      </c>
      <c r="K146" s="348">
        <f t="shared" si="23"/>
        <v>0</v>
      </c>
      <c r="L146" s="573">
        <f t="shared" si="24"/>
        <v>0</v>
      </c>
      <c r="M146" s="576"/>
      <c r="N146" s="629">
        <f t="shared" si="28"/>
        <v>0</v>
      </c>
      <c r="O146" s="628"/>
      <c r="P146" s="573">
        <f t="shared" si="25"/>
        <v>0</v>
      </c>
      <c r="Q146" s="576"/>
    </row>
    <row r="147" spans="6:17" ht="13.5">
      <c r="F147" s="347" t="s">
        <v>88</v>
      </c>
      <c r="G147" s="348">
        <f t="shared" si="22"/>
        <v>0</v>
      </c>
      <c r="H147" s="574">
        <f t="shared" si="26"/>
        <v>0</v>
      </c>
      <c r="I147" s="628"/>
      <c r="J147" s="351">
        <f t="shared" si="27"/>
        <v>0</v>
      </c>
      <c r="K147" s="348">
        <f t="shared" si="23"/>
        <v>0</v>
      </c>
      <c r="L147" s="573">
        <f t="shared" si="24"/>
        <v>0</v>
      </c>
      <c r="M147" s="576"/>
      <c r="N147" s="629">
        <f t="shared" si="28"/>
        <v>0</v>
      </c>
      <c r="O147" s="628"/>
      <c r="P147" s="573">
        <f t="shared" si="25"/>
        <v>0</v>
      </c>
      <c r="Q147" s="576"/>
    </row>
    <row r="148" spans="6:17" ht="13.5">
      <c r="F148" s="347" t="s">
        <v>89</v>
      </c>
      <c r="G148" s="348">
        <f t="shared" si="22"/>
        <v>0</v>
      </c>
      <c r="H148" s="574">
        <f t="shared" si="26"/>
        <v>0</v>
      </c>
      <c r="I148" s="628"/>
      <c r="J148" s="351">
        <f t="shared" si="27"/>
        <v>0</v>
      </c>
      <c r="K148" s="348">
        <f t="shared" si="23"/>
        <v>0</v>
      </c>
      <c r="L148" s="573">
        <f t="shared" si="24"/>
        <v>0</v>
      </c>
      <c r="M148" s="576"/>
      <c r="N148" s="629">
        <f t="shared" si="28"/>
        <v>0</v>
      </c>
      <c r="O148" s="628"/>
      <c r="P148" s="573">
        <f t="shared" si="25"/>
        <v>0</v>
      </c>
      <c r="Q148" s="576"/>
    </row>
    <row r="149" spans="6:17" ht="13.5">
      <c r="F149" s="347" t="s">
        <v>90</v>
      </c>
      <c r="G149" s="348">
        <f t="shared" si="22"/>
        <v>0</v>
      </c>
      <c r="H149" s="574">
        <f t="shared" si="26"/>
        <v>0</v>
      </c>
      <c r="I149" s="628"/>
      <c r="J149" s="351">
        <f t="shared" si="27"/>
        <v>0</v>
      </c>
      <c r="K149" s="348">
        <f t="shared" si="23"/>
        <v>0</v>
      </c>
      <c r="L149" s="573">
        <f t="shared" si="24"/>
        <v>0</v>
      </c>
      <c r="M149" s="576"/>
      <c r="N149" s="629">
        <f t="shared" si="28"/>
        <v>0</v>
      </c>
      <c r="O149" s="628"/>
      <c r="P149" s="573">
        <f t="shared" si="25"/>
        <v>0</v>
      </c>
      <c r="Q149" s="576"/>
    </row>
    <row r="150" spans="6:17" ht="14.25" thickBot="1">
      <c r="F150" s="347" t="s">
        <v>138</v>
      </c>
      <c r="G150" s="348">
        <f t="shared" si="22"/>
        <v>116820</v>
      </c>
      <c r="H150" s="574">
        <f>SUMIF($E$4:$E$138,$F150,$S$4:$S$138)+'2-3'!G122</f>
        <v>11000</v>
      </c>
      <c r="I150" s="628"/>
      <c r="J150" s="351">
        <f t="shared" si="27"/>
        <v>105820</v>
      </c>
      <c r="K150" s="348">
        <f t="shared" si="23"/>
        <v>71170</v>
      </c>
      <c r="L150" s="617">
        <f>SUMIF($E$4:$E$138,$F150,$T$4:$T$138)+'2-3'!E122</f>
        <v>11000</v>
      </c>
      <c r="M150" s="618"/>
      <c r="N150" s="629">
        <f t="shared" si="28"/>
        <v>60170</v>
      </c>
      <c r="O150" s="628"/>
      <c r="P150" s="617">
        <f t="shared" si="25"/>
        <v>45650</v>
      </c>
      <c r="Q150" s="618"/>
    </row>
    <row r="151" spans="6:17" ht="15" thickBot="1" thickTop="1">
      <c r="F151" s="354" t="s">
        <v>15</v>
      </c>
      <c r="G151" s="355">
        <f>SUM(G142:G150)</f>
        <v>1190000</v>
      </c>
      <c r="H151" s="580">
        <f>SUM(H142:I150)</f>
        <v>11000</v>
      </c>
      <c r="I151" s="626"/>
      <c r="J151" s="355">
        <f>SUM(J142:J150)</f>
        <v>1179000</v>
      </c>
      <c r="K151" s="355">
        <f>SUM(K142:K150)</f>
        <v>169410</v>
      </c>
      <c r="L151" s="619">
        <f>SUM(L142:M150)</f>
        <v>11000</v>
      </c>
      <c r="M151" s="620"/>
      <c r="N151" s="626">
        <f>SUM(N142:O150)</f>
        <v>158410</v>
      </c>
      <c r="O151" s="627"/>
      <c r="P151" s="619">
        <f>SUM(P142:Q150)</f>
        <v>1020590</v>
      </c>
      <c r="Q151" s="6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30" operator="equal" stopIfTrue="1">
      <formula>0</formula>
    </cfRule>
  </conditionalFormatting>
  <conditionalFormatting sqref="J139">
    <cfRule type="cellIs" priority="4" dxfId="30" operator="equal" stopIfTrue="1">
      <formula>0</formula>
    </cfRule>
  </conditionalFormatting>
  <conditionalFormatting sqref="K4:O138">
    <cfRule type="cellIs" priority="8" dxfId="18" operator="notEqual" stopIfTrue="1">
      <formula>F4</formula>
    </cfRule>
  </conditionalFormatting>
  <conditionalFormatting sqref="K139:O139">
    <cfRule type="cellIs" priority="3" dxfId="18"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E23" sqref="E23"/>
      <selection pane="topRight" activeCell="E23" sqref="E23"/>
      <selection pane="bottomLeft" activeCell="E23" sqref="E23"/>
      <selection pane="bottomRight" activeCell="H95" sqref="H9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44" t="s">
        <v>261</v>
      </c>
      <c r="B1" s="644"/>
      <c r="C1" s="644"/>
      <c r="D1" s="644"/>
      <c r="E1" s="644"/>
      <c r="F1" s="644"/>
      <c r="G1" s="645"/>
      <c r="H1" s="645"/>
      <c r="I1" s="645"/>
    </row>
    <row r="2" spans="1:9" ht="15" customHeight="1" thickBot="1">
      <c r="A2" s="8"/>
      <c r="B2" s="7" t="s">
        <v>244</v>
      </c>
      <c r="C2" s="87"/>
      <c r="E2" s="116"/>
      <c r="F2" s="117" t="s">
        <v>112</v>
      </c>
      <c r="G2" s="209">
        <f>SUM(E5:E119)</f>
        <v>64170</v>
      </c>
      <c r="H2" s="72" t="s">
        <v>188</v>
      </c>
      <c r="I2" s="209">
        <f>SUM(H5:H119)</f>
        <v>31920</v>
      </c>
    </row>
    <row r="3" spans="1:9" ht="15" customHeight="1" thickBot="1">
      <c r="A3" s="8"/>
      <c r="B3" s="7"/>
      <c r="C3" s="87"/>
      <c r="E3" s="640" t="s">
        <v>181</v>
      </c>
      <c r="F3" s="641"/>
      <c r="G3" s="642"/>
      <c r="H3" s="640" t="s">
        <v>182</v>
      </c>
      <c r="I3" s="64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F21</f>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v>0</v>
      </c>
      <c r="F49" s="206">
        <f>IF('1-3'!E48="","",'1-3'!E48)</f>
        <v>10800</v>
      </c>
      <c r="G49" s="85">
        <f t="shared" si="1"/>
      </c>
      <c r="H49" s="214">
        <v>10800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v>2000</v>
      </c>
      <c r="F61" s="196">
        <f>IF('1-3'!E60="","",'1-3'!E60)</f>
        <v>5000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v>0</v>
      </c>
      <c r="F75" s="196">
        <f>IF('1-3'!E74="","",'1-3'!E74)</f>
        <v>9000</v>
      </c>
      <c r="G75" s="84">
        <f t="shared" si="3"/>
      </c>
      <c r="H75" s="210">
        <v>9000</v>
      </c>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v>1270</v>
      </c>
      <c r="F94" s="196">
        <f>IF('1-3'!E93="","",'1-3'!E93)</f>
        <v>2000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v>0</v>
      </c>
      <c r="F95" s="196">
        <f>IF('1-3'!E94="","",'1-3'!E94)</f>
        <v>2120</v>
      </c>
      <c r="G95" s="84">
        <f t="shared" si="3"/>
      </c>
      <c r="H95" s="210">
        <v>2120</v>
      </c>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64170</v>
      </c>
      <c r="F121" s="118" t="s">
        <v>186</v>
      </c>
      <c r="G121" s="182">
        <f>SUM(F5:F119)</f>
        <v>99820</v>
      </c>
      <c r="H121" s="121" t="s">
        <v>190</v>
      </c>
      <c r="I121" s="182">
        <f>I2</f>
        <v>31920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53170</v>
      </c>
      <c r="F123" s="120" t="s">
        <v>187</v>
      </c>
      <c r="G123" s="184">
        <f>G121-G122</f>
        <v>88820</v>
      </c>
      <c r="H123" s="44" t="s">
        <v>189</v>
      </c>
      <c r="I123" s="184">
        <f>I121-I122</f>
        <v>31920</v>
      </c>
    </row>
  </sheetData>
  <sheetProtection sheet="1" formatCells="0" selectLockedCells="1"/>
  <mergeCells count="3">
    <mergeCell ref="E3:G3"/>
    <mergeCell ref="H3:I3"/>
    <mergeCell ref="A1:I1"/>
  </mergeCells>
  <conditionalFormatting sqref="E5:E119">
    <cfRule type="cellIs" priority="2" dxfId="16" operator="notEqual" stopIfTrue="1">
      <formula>F5</formula>
    </cfRule>
  </conditionalFormatting>
  <conditionalFormatting sqref="G5:G119">
    <cfRule type="cellIs" priority="1" dxfId="16"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2018-06-27T11:06:47Z</cp:lastPrinted>
  <dcterms:created xsi:type="dcterms:W3CDTF">2007-02-21T01:05:33Z</dcterms:created>
  <dcterms:modified xsi:type="dcterms:W3CDTF">2018-06-27T11:10:51Z</dcterms:modified>
  <cp:category/>
  <cp:version/>
  <cp:contentType/>
  <cp:contentStatus/>
</cp:coreProperties>
</file>