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１</t>
        </r>
      </text>
    </comment>
  </commentList>
</comments>
</file>

<file path=xl/sharedStrings.xml><?xml version="1.0" encoding="utf-8"?>
<sst xmlns="http://schemas.openxmlformats.org/spreadsheetml/2006/main" count="926" uniqueCount="343">
  <si>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</si>
  <si>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</si>
  <si>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</si>
  <si>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</si>
  <si>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</si>
  <si>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</si>
  <si>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</si>
  <si>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</si>
  <si>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</si>
  <si>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</si>
  <si>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</si>
  <si>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</si>
  <si>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</si>
  <si>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</si>
  <si>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</si>
  <si>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</si>
  <si>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</si>
  <si>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</si>
  <si>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</si>
  <si>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</si>
  <si>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</si>
  <si>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</si>
  <si>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</si>
  <si>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</si>
  <si>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</si>
  <si>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</si>
  <si>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</si>
  <si>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</si>
  <si>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</si>
  <si>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</si>
  <si>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</si>
  <si>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</si>
  <si>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</si>
  <si>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</si>
  <si>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</si>
  <si>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</si>
  <si>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</si>
  <si>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</si>
  <si>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</si>
  <si>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</si>
  <si>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</si>
  <si>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</si>
  <si>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</si>
  <si>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</si>
  <si>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</si>
  <si>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</si>
  <si>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</si>
  <si>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</si>
  <si>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</si>
  <si>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</si>
  <si>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</si>
  <si>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</si>
  <si>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</si>
  <si>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</si>
  <si>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</si>
  <si>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</si>
  <si>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</si>
  <si>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</si>
  <si>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</si>
  <si>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</si>
  <si>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</si>
  <si>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</si>
  <si>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</si>
  <si>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</si>
  <si>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</si>
  <si>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</si>
  <si>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</si>
  <si>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</si>
  <si>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</si>
  <si>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</si>
  <si>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</si>
  <si>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</si>
  <si>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</si>
  <si>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</si>
  <si>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</si>
  <si>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</si>
  <si>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</si>
  <si>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</si>
  <si>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</si>
  <si>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</si>
  <si>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</si>
  <si>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</si>
  <si>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</si>
  <si>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</si>
  <si>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</si>
  <si>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</si>
  <si>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</si>
  <si>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</si>
  <si>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</si>
  <si>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</si>
  <si>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</si>
  <si>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</si>
  <si>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</si>
  <si>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</si>
  <si>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</si>
  <si>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</si>
  <si>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</si>
  <si>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</si>
  <si>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</si>
  <si>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</si>
  <si>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</si>
  <si>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</si>
  <si>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</si>
  <si>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</si>
  <si>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</si>
  <si>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</si>
  <si>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</si>
  <si>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</si>
  <si>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</si>
  <si>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</si>
  <si>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</si>
  <si>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</si>
  <si>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</si>
  <si>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</si>
  <si>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</si>
  <si>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</si>
  <si>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</si>
  <si>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</si>
  <si>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</si>
  <si>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</si>
  <si>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</si>
  <si>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</si>
  <si>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</si>
  <si>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</si>
  <si>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</si>
  <si>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</si>
  <si>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</si>
  <si>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</si>
  <si>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</si>
  <si>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</si>
  <si>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</si>
  <si>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</si>
  <si>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</si>
  <si>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</si>
  <si>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</si>
  <si>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</si>
  <si>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</si>
  <si>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</si>
  <si>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</si>
  <si>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</si>
  <si>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</si>
  <si>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</si>
  <si>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</si>
  <si>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</si>
  <si>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</si>
  <si>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</si>
  <si>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</si>
  <si>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</si>
  <si>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</si>
  <si>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</si>
  <si>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</si>
  <si>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</si>
  <si>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</si>
  <si>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</si>
  <si>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</si>
  <si>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</si>
  <si>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</si>
  <si>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</si>
  <si>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</si>
  <si>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</si>
  <si>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</si>
  <si>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</si>
  <si>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</si>
  <si>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</si>
  <si>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</si>
  <si>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</si>
  <si>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</si>
  <si>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</si>
  <si>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</si>
  <si>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</si>
  <si>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</si>
  <si>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</si>
  <si>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</si>
  <si>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</si>
  <si>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</si>
  <si>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</si>
  <si>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</si>
  <si>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</si>
  <si>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</si>
  <si>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</si>
  <si>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</si>
  <si>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</si>
  <si>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</si>
  <si>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</si>
  <si>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</si>
  <si>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</si>
  <si>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</si>
  <si>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</si>
  <si>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</si>
  <si>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</si>
  <si>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</si>
  <si>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</si>
  <si>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</si>
  <si>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</si>
  <si>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</si>
  <si>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</si>
  <si>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</si>
  <si>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</si>
  <si>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</si>
  <si>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</si>
  <si>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</si>
  <si>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</si>
  <si>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</si>
  <si>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</si>
  <si>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</si>
  <si>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</si>
  <si>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</si>
  <si>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</si>
  <si>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</si>
  <si>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</si>
  <si>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</si>
  <si>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</si>
  <si>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</si>
  <si>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</si>
  <si>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</si>
  <si>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</si>
  <si>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</si>
  <si>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</si>
  <si>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</si>
  <si>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</si>
  <si>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</si>
  <si>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</si>
  <si>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</si>
  <si>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</si>
  <si>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</si>
  <si>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</si>
  <si>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</si>
  <si>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</si>
  <si>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</si>
  <si>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</si>
  <si>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</si>
  <si>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</si>
  <si>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</si>
  <si>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</si>
  <si>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</si>
  <si>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</si>
  <si>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</si>
  <si>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</si>
  <si>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</si>
  <si>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</si>
  <si>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</si>
  <si>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</si>
  <si>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</si>
  <si>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</si>
  <si>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</si>
  <si>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</si>
  <si>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</si>
  <si>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</si>
  <si>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</si>
  <si>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</si>
  <si>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</si>
  <si>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</si>
  <si>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</si>
  <si>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</si>
  <si>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</si>
  <si>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</si>
  <si>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</si>
  <si>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</si>
  <si>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</si>
  <si>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</si>
  <si>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</si>
  <si>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</si>
  <si>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</si>
  <si>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</si>
  <si>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</si>
  <si>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</si>
  <si>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</si>
  <si>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</si>
  <si>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</si>
  <si>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</si>
  <si>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</si>
  <si>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</si>
  <si>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</si>
  <si>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府立枚方支援学校　</t>
  </si>
  <si>
    <t>1（１）ウ</t>
  </si>
  <si>
    <t>専門性の向上</t>
  </si>
  <si>
    <t>２（２）オ</t>
  </si>
  <si>
    <t>３（３）イ</t>
  </si>
  <si>
    <t>４（１）イ</t>
  </si>
  <si>
    <t>４（２）エ</t>
  </si>
  <si>
    <t>５（２）エ</t>
  </si>
  <si>
    <t>５（２）オ</t>
  </si>
  <si>
    <t>クリーンタイムの充実</t>
  </si>
  <si>
    <t>個別の教育支援計画の充実</t>
  </si>
  <si>
    <t>高床式砂栽培の実践の深化</t>
  </si>
  <si>
    <t>進路指導の充実・発展</t>
  </si>
  <si>
    <t>学校間交流の推進</t>
  </si>
  <si>
    <t>ロートギャラリーの実地</t>
  </si>
  <si>
    <t>全国特別支援学校校長会</t>
  </si>
  <si>
    <t>全国特別支援学校知的障害教育教頭会研究会</t>
  </si>
  <si>
    <t>性教育研修</t>
  </si>
  <si>
    <t>ビジネスマナー研修</t>
  </si>
  <si>
    <t>キャリア教育研修</t>
  </si>
  <si>
    <t>初任教諭研授業への助言指導</t>
  </si>
  <si>
    <t>研究集会参加</t>
  </si>
  <si>
    <t>３（１）</t>
  </si>
  <si>
    <t>３（１）</t>
  </si>
  <si>
    <t>別紙明細書のとおり</t>
  </si>
  <si>
    <t>　　平成29年　4月30日</t>
  </si>
  <si>
    <t>（財務会計コード番号：11541）</t>
  </si>
  <si>
    <t>（学校番号：S19）</t>
  </si>
  <si>
    <t>枚支 第 20号　</t>
  </si>
  <si>
    <t>専門性の向上（人材育成）</t>
  </si>
  <si>
    <t>命と性の授業セット等物品購入【消耗品）</t>
  </si>
  <si>
    <t>フローリングワイパー60等物品購入【消耗品）</t>
  </si>
  <si>
    <t>新版S-M社会生活能力検査用紙等物品購入【消耗品）</t>
  </si>
  <si>
    <t>砂、育苗用シート、ネット等の物品購入【消耗品）</t>
  </si>
  <si>
    <t>ｲﾝﾊﾟｸﾄﾄﾞﾗｲﾊﾞｰ補修ｾｯﾄ等の物品購入(消耗品)</t>
  </si>
  <si>
    <t>学校ユニフォーム（ｻｯｶｰ等）の物品購入【消耗品）</t>
  </si>
  <si>
    <t>屋外用展示フレーム等の物品購入【消耗品）</t>
  </si>
  <si>
    <t>第162回国治研セミナー負担金</t>
  </si>
  <si>
    <t>（公社）発達協会「実践セミナー」負担金</t>
  </si>
  <si>
    <t>各セミナー、研究集会等資料代</t>
  </si>
  <si>
    <t>全知P連合会創立記念50周年大会</t>
  </si>
  <si>
    <t>旅費</t>
  </si>
  <si>
    <t>３（１）</t>
  </si>
  <si>
    <t>各セミナー、研究集会等負担金</t>
  </si>
  <si>
    <t>（財務会計コード番号：１１５４１）</t>
  </si>
  <si>
    <t>　　枚　支　 第２０ 号　</t>
  </si>
  <si>
    <t>　校長　井上　昌二　</t>
  </si>
  <si>
    <t>（学校番号：Ｓ１９）</t>
  </si>
  <si>
    <t>　 枚　支 第 ２０号　</t>
  </si>
  <si>
    <t>　校長　井上　昌二</t>
  </si>
  <si>
    <t>２-（２）－オ</t>
  </si>
  <si>
    <t>３－（３）－イ</t>
  </si>
  <si>
    <t>４－（１）－イ</t>
  </si>
  <si>
    <t>４－（２）－エ</t>
  </si>
  <si>
    <t>５－（２）－エ</t>
  </si>
  <si>
    <t>５－（２）－オ</t>
  </si>
  <si>
    <t>「個別の教育支援計画」の充実</t>
  </si>
  <si>
    <t>高床式砂栽培の実践の深化</t>
  </si>
  <si>
    <t>学校間交流の推進</t>
  </si>
  <si>
    <t>ロードギャラリーの実施</t>
  </si>
  <si>
    <t>1-（１）－イ、ウ</t>
  </si>
  <si>
    <t>命と性の授業セット購入、「思春期の心とからだ」書籍購入</t>
  </si>
  <si>
    <t>フローリングワイパー６０、マイクロクロス６０等物品購入</t>
  </si>
  <si>
    <t>苗、遮光性ネット、金具、液体肥料購入</t>
  </si>
  <si>
    <t>ﾄﾞﾗｲﾊﾞｰ等工具、丸鋸取替刃用購入</t>
  </si>
  <si>
    <t>サッカー、バスッケット試合用ユニフォーム</t>
  </si>
  <si>
    <t>屋外用展示フレーム、ボード</t>
  </si>
  <si>
    <t>新版Ｓ－Ｍ社会生活能力検査用紙等購入、
性教育研修、初任教諭研授業への助言、研修
各セミナー、研修会負担金</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</si>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</sst>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2">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501" t="s">
        <v>320</v>
      </c>
      <c r="I1" s="501"/>
      <c r="J1" s="501"/>
      <c r="K1" s="501"/>
    </row>
    <row r="2" spans="2:11" s="1" customFormat="1" ht="18" customHeight="1">
      <c r="B2" s="148"/>
      <c r="H2" s="501" t="s">
        <v>317</v>
      </c>
      <c r="I2" s="501"/>
      <c r="J2" s="501"/>
      <c r="K2" s="501"/>
    </row>
    <row r="3" spans="2:11" s="1" customFormat="1" ht="18" customHeight="1">
      <c r="B3" s="148"/>
      <c r="K3" s="2"/>
    </row>
    <row r="4" spans="2:11" s="1" customFormat="1" ht="18" customHeight="1">
      <c r="B4" s="148"/>
      <c r="H4" s="502" t="s">
        <v>321</v>
      </c>
      <c r="I4" s="502"/>
      <c r="J4" s="502"/>
      <c r="K4" s="502"/>
    </row>
    <row r="5" spans="2:11" s="1" customFormat="1" ht="18" customHeight="1">
      <c r="B5" s="148"/>
      <c r="H5" s="503">
        <v>43187</v>
      </c>
      <c r="I5" s="502"/>
      <c r="J5" s="502"/>
      <c r="K5" s="502"/>
    </row>
    <row r="6" spans="1:11" s="1" customFormat="1" ht="18" customHeight="1">
      <c r="A6" s="3" t="s">
        <v>2</v>
      </c>
      <c r="B6" s="148"/>
      <c r="H6" s="4"/>
      <c r="K6" s="11"/>
    </row>
    <row r="7" spans="1:11" s="1" customFormat="1" ht="18" customHeight="1">
      <c r="A7" s="4"/>
      <c r="B7" s="148"/>
      <c r="H7" s="502" t="s">
        <v>273</v>
      </c>
      <c r="I7" s="502"/>
      <c r="J7" s="502"/>
      <c r="K7" s="502"/>
    </row>
    <row r="8" spans="1:11" s="1" customFormat="1" ht="18" customHeight="1">
      <c r="A8" s="4"/>
      <c r="B8" s="148"/>
      <c r="H8" s="502" t="s">
        <v>322</v>
      </c>
      <c r="I8" s="502"/>
      <c r="J8" s="502"/>
      <c r="K8" s="502"/>
    </row>
    <row r="9" spans="1:11" s="1" customFormat="1" ht="42" customHeight="1">
      <c r="A9" s="4"/>
      <c r="B9" s="148"/>
      <c r="H9" s="2"/>
      <c r="K9" s="46"/>
    </row>
    <row r="10" spans="1:11" s="5" customFormat="1" ht="24" customHeight="1">
      <c r="A10" s="490" t="s">
        <v>263</v>
      </c>
      <c r="B10" s="490"/>
      <c r="C10" s="490"/>
      <c r="D10" s="490"/>
      <c r="E10" s="490"/>
      <c r="F10" s="490"/>
      <c r="G10" s="490"/>
      <c r="H10" s="490"/>
      <c r="I10" s="490"/>
      <c r="J10" s="490"/>
      <c r="K10" s="490"/>
    </row>
    <row r="11" spans="1:11" s="5" customFormat="1" ht="24" customHeight="1">
      <c r="A11" s="491"/>
      <c r="B11" s="491"/>
      <c r="C11" s="491"/>
      <c r="D11" s="491"/>
      <c r="E11" s="491"/>
      <c r="F11" s="491"/>
      <c r="G11" s="491"/>
      <c r="H11" s="491"/>
      <c r="I11" s="491"/>
      <c r="J11" s="491"/>
      <c r="K11" s="491"/>
    </row>
    <row r="12" spans="1:11" s="5" customFormat="1" ht="24" customHeight="1">
      <c r="A12" s="14" t="s">
        <v>342</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492" t="s">
        <v>223</v>
      </c>
      <c r="B14" s="493"/>
      <c r="C14" s="494"/>
      <c r="D14" s="495">
        <f>'1-1'!D14:F14</f>
        <v>1190000</v>
      </c>
      <c r="E14" s="496"/>
      <c r="F14" s="497"/>
      <c r="G14" s="504" t="s">
        <v>1</v>
      </c>
      <c r="H14" s="505"/>
      <c r="I14" s="506">
        <v>43187</v>
      </c>
      <c r="J14" s="507"/>
      <c r="K14" s="508"/>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1">
        <f>'3-2'!K46</f>
        <v>220000</v>
      </c>
      <c r="C16" s="222">
        <f>'3-2'!K47</f>
        <v>293070</v>
      </c>
      <c r="D16" s="222">
        <f>'3-2'!K48</f>
        <v>1509360</v>
      </c>
      <c r="E16" s="222">
        <f>'3-2'!K49</f>
        <v>0</v>
      </c>
      <c r="F16" s="222">
        <f>'3-2'!K50</f>
        <v>0</v>
      </c>
      <c r="G16" s="222">
        <f>'3-2'!K51</f>
        <v>0</v>
      </c>
      <c r="H16" s="222">
        <f>'3-2'!K52</f>
        <v>0</v>
      </c>
      <c r="I16" s="222">
        <f>'3-2'!K53</f>
        <v>0</v>
      </c>
      <c r="J16" s="223">
        <f>'3-2'!K54</f>
        <v>113930</v>
      </c>
      <c r="K16" s="224">
        <f>SUM(B16:J16)</f>
        <v>2136360</v>
      </c>
    </row>
    <row r="17" spans="6:7" ht="24" customHeight="1" thickBot="1">
      <c r="F17" s="12"/>
      <c r="G17" s="12"/>
    </row>
    <row r="18" spans="1:11" ht="24" customHeight="1" thickBot="1">
      <c r="A18" s="146" t="s">
        <v>141</v>
      </c>
      <c r="B18" s="509" t="s">
        <v>142</v>
      </c>
      <c r="C18" s="510"/>
      <c r="D18" s="509" t="s">
        <v>224</v>
      </c>
      <c r="E18" s="511"/>
      <c r="F18" s="510" t="s">
        <v>219</v>
      </c>
      <c r="G18" s="510"/>
      <c r="H18" s="510"/>
      <c r="I18" s="510"/>
      <c r="J18" s="511"/>
      <c r="K18" s="147" t="s">
        <v>140</v>
      </c>
    </row>
    <row r="19" spans="1:11" ht="48" customHeight="1">
      <c r="A19" s="151">
        <v>1</v>
      </c>
      <c r="B19" s="512" t="s">
        <v>333</v>
      </c>
      <c r="C19" s="513"/>
      <c r="D19" s="515" t="s">
        <v>275</v>
      </c>
      <c r="E19" s="516"/>
      <c r="F19" s="515" t="s">
        <v>334</v>
      </c>
      <c r="G19" s="517"/>
      <c r="H19" s="517"/>
      <c r="I19" s="517"/>
      <c r="J19" s="516"/>
      <c r="K19" s="475" t="s">
        <v>341</v>
      </c>
    </row>
    <row r="20" spans="1:11" ht="48" customHeight="1">
      <c r="A20" s="152">
        <v>2</v>
      </c>
      <c r="B20" s="488" t="s">
        <v>323</v>
      </c>
      <c r="C20" s="514"/>
      <c r="D20" s="485" t="s">
        <v>282</v>
      </c>
      <c r="E20" s="486"/>
      <c r="F20" s="485" t="s">
        <v>335</v>
      </c>
      <c r="G20" s="487"/>
      <c r="H20" s="487"/>
      <c r="I20" s="487"/>
      <c r="J20" s="486"/>
      <c r="K20" s="475" t="s">
        <v>341</v>
      </c>
    </row>
    <row r="21" spans="1:11" ht="48" customHeight="1">
      <c r="A21" s="152">
        <v>3</v>
      </c>
      <c r="B21" s="488" t="s">
        <v>324</v>
      </c>
      <c r="C21" s="514"/>
      <c r="D21" s="485" t="s">
        <v>329</v>
      </c>
      <c r="E21" s="486"/>
      <c r="F21" s="487" t="s">
        <v>340</v>
      </c>
      <c r="G21" s="487"/>
      <c r="H21" s="487"/>
      <c r="I21" s="487"/>
      <c r="J21" s="486"/>
      <c r="K21" s="475" t="s">
        <v>272</v>
      </c>
    </row>
    <row r="22" spans="1:11" ht="48" customHeight="1">
      <c r="A22" s="152">
        <v>4</v>
      </c>
      <c r="B22" s="488" t="s">
        <v>325</v>
      </c>
      <c r="C22" s="514"/>
      <c r="D22" s="485" t="s">
        <v>330</v>
      </c>
      <c r="E22" s="486"/>
      <c r="F22" s="487" t="s">
        <v>336</v>
      </c>
      <c r="G22" s="487"/>
      <c r="H22" s="487"/>
      <c r="I22" s="487"/>
      <c r="J22" s="486"/>
      <c r="K22" s="475" t="s">
        <v>272</v>
      </c>
    </row>
    <row r="23" spans="1:11" ht="48" customHeight="1">
      <c r="A23" s="152">
        <v>5</v>
      </c>
      <c r="B23" s="488" t="s">
        <v>326</v>
      </c>
      <c r="C23" s="514"/>
      <c r="D23" s="485" t="s">
        <v>285</v>
      </c>
      <c r="E23" s="486"/>
      <c r="F23" s="487" t="s">
        <v>337</v>
      </c>
      <c r="G23" s="487"/>
      <c r="H23" s="487"/>
      <c r="I23" s="487"/>
      <c r="J23" s="486"/>
      <c r="K23" s="475" t="s">
        <v>341</v>
      </c>
    </row>
    <row r="24" spans="1:11" ht="48" customHeight="1">
      <c r="A24" s="152">
        <v>6</v>
      </c>
      <c r="B24" s="488" t="s">
        <v>327</v>
      </c>
      <c r="C24" s="514"/>
      <c r="D24" s="485" t="s">
        <v>331</v>
      </c>
      <c r="E24" s="486"/>
      <c r="F24" s="487" t="s">
        <v>338</v>
      </c>
      <c r="G24" s="487"/>
      <c r="H24" s="487"/>
      <c r="I24" s="487"/>
      <c r="J24" s="486"/>
      <c r="K24" s="475" t="s">
        <v>272</v>
      </c>
    </row>
    <row r="25" spans="1:11" ht="48" customHeight="1">
      <c r="A25" s="152">
        <v>7</v>
      </c>
      <c r="B25" s="488" t="s">
        <v>328</v>
      </c>
      <c r="C25" s="514"/>
      <c r="D25" s="485" t="s">
        <v>332</v>
      </c>
      <c r="E25" s="486"/>
      <c r="F25" s="487" t="s">
        <v>339</v>
      </c>
      <c r="G25" s="487"/>
      <c r="H25" s="487"/>
      <c r="I25" s="487"/>
      <c r="J25" s="486"/>
      <c r="K25" s="475" t="s">
        <v>341</v>
      </c>
    </row>
    <row r="26" spans="1:11" ht="48" customHeight="1">
      <c r="A26" s="152"/>
      <c r="B26" s="488"/>
      <c r="C26" s="489"/>
      <c r="D26" s="485"/>
      <c r="E26" s="486"/>
      <c r="F26" s="487"/>
      <c r="G26" s="487"/>
      <c r="H26" s="487"/>
      <c r="I26" s="487"/>
      <c r="J26" s="486"/>
      <c r="K26" s="475"/>
    </row>
    <row r="27" spans="1:11" ht="48" customHeight="1">
      <c r="A27" s="152"/>
      <c r="B27" s="488"/>
      <c r="C27" s="514"/>
      <c r="D27" s="485"/>
      <c r="E27" s="486"/>
      <c r="F27" s="487"/>
      <c r="G27" s="487"/>
      <c r="H27" s="487"/>
      <c r="I27" s="487"/>
      <c r="J27" s="486"/>
      <c r="K27" s="475"/>
    </row>
    <row r="28" spans="1:11" ht="48" customHeight="1">
      <c r="A28" s="152"/>
      <c r="B28" s="488"/>
      <c r="C28" s="514"/>
      <c r="D28" s="485"/>
      <c r="E28" s="486"/>
      <c r="F28" s="487"/>
      <c r="G28" s="487"/>
      <c r="H28" s="487"/>
      <c r="I28" s="487"/>
      <c r="J28" s="486"/>
      <c r="K28" s="475"/>
    </row>
    <row r="29" spans="1:11" ht="48" customHeight="1">
      <c r="A29" s="152"/>
      <c r="B29" s="488"/>
      <c r="C29" s="514"/>
      <c r="D29" s="485"/>
      <c r="E29" s="486"/>
      <c r="F29" s="487"/>
      <c r="G29" s="487"/>
      <c r="H29" s="487"/>
      <c r="I29" s="487"/>
      <c r="J29" s="486"/>
      <c r="K29" s="475"/>
    </row>
    <row r="30" spans="1:11" ht="48" customHeight="1">
      <c r="A30" s="159"/>
      <c r="B30" s="488"/>
      <c r="C30" s="489"/>
      <c r="D30" s="485"/>
      <c r="E30" s="486"/>
      <c r="F30" s="487"/>
      <c r="G30" s="487"/>
      <c r="H30" s="487"/>
      <c r="I30" s="487"/>
      <c r="J30" s="486"/>
      <c r="K30" s="475"/>
    </row>
    <row r="31" spans="1:11" ht="48" customHeight="1">
      <c r="A31" s="159"/>
      <c r="B31" s="488"/>
      <c r="C31" s="489"/>
      <c r="D31" s="485"/>
      <c r="E31" s="486"/>
      <c r="F31" s="487"/>
      <c r="G31" s="487"/>
      <c r="H31" s="487"/>
      <c r="I31" s="487"/>
      <c r="J31" s="486"/>
      <c r="K31" s="475"/>
    </row>
    <row r="32" spans="1:11" ht="48" customHeight="1">
      <c r="A32" s="159"/>
      <c r="B32" s="488"/>
      <c r="C32" s="489"/>
      <c r="D32" s="485"/>
      <c r="E32" s="486"/>
      <c r="F32" s="487"/>
      <c r="G32" s="487"/>
      <c r="H32" s="487"/>
      <c r="I32" s="487"/>
      <c r="J32" s="486"/>
      <c r="K32" s="475"/>
    </row>
    <row r="33" spans="1:11" ht="48" customHeight="1">
      <c r="A33" s="159"/>
      <c r="B33" s="488"/>
      <c r="C33" s="489"/>
      <c r="D33" s="485"/>
      <c r="E33" s="486"/>
      <c r="F33" s="487"/>
      <c r="G33" s="487"/>
      <c r="H33" s="487"/>
      <c r="I33" s="487"/>
      <c r="J33" s="486"/>
      <c r="K33" s="475"/>
    </row>
    <row r="34" spans="1:11" ht="48" customHeight="1">
      <c r="A34" s="159"/>
      <c r="B34" s="488"/>
      <c r="C34" s="489"/>
      <c r="D34" s="485"/>
      <c r="E34" s="486"/>
      <c r="F34" s="487"/>
      <c r="G34" s="487"/>
      <c r="H34" s="487"/>
      <c r="I34" s="487"/>
      <c r="J34" s="486"/>
      <c r="K34" s="475"/>
    </row>
    <row r="35" spans="1:11" ht="48" customHeight="1" thickBot="1">
      <c r="A35" s="153"/>
      <c r="B35" s="518"/>
      <c r="C35" s="519"/>
      <c r="D35" s="498"/>
      <c r="E35" s="499"/>
      <c r="F35" s="500"/>
      <c r="G35" s="500"/>
      <c r="H35" s="500"/>
      <c r="I35" s="500"/>
      <c r="J35" s="499"/>
      <c r="K35" s="47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6" sqref="F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1" t="s">
        <v>142</v>
      </c>
      <c r="C3" s="59" t="s">
        <v>144</v>
      </c>
      <c r="D3" s="96" t="s">
        <v>146</v>
      </c>
      <c r="E3" s="96" t="s">
        <v>0</v>
      </c>
      <c r="F3" s="96" t="s">
        <v>197</v>
      </c>
      <c r="G3" s="96" t="s">
        <v>91</v>
      </c>
      <c r="H3" s="476" t="s">
        <v>246</v>
      </c>
      <c r="I3" s="96" t="s">
        <v>92</v>
      </c>
      <c r="J3" s="96" t="s">
        <v>93</v>
      </c>
      <c r="K3" s="229" t="s">
        <v>111</v>
      </c>
      <c r="L3" s="297" t="s">
        <v>94</v>
      </c>
      <c r="M3" s="29" t="s">
        <v>99</v>
      </c>
    </row>
    <row r="4" spans="1:13" ht="13.5" customHeight="1">
      <c r="A4" s="362"/>
      <c r="B4" s="363"/>
      <c r="C4" s="244"/>
      <c r="D4" s="245">
        <v>301</v>
      </c>
      <c r="E4" s="246" t="s">
        <v>138</v>
      </c>
      <c r="F4" s="247" t="s">
        <v>225</v>
      </c>
      <c r="G4" s="248"/>
      <c r="H4" s="249"/>
      <c r="I4" s="249"/>
      <c r="J4" s="250">
        <f>G4*H4*I4</f>
        <v>0</v>
      </c>
      <c r="K4" s="251"/>
      <c r="L4" s="252" t="s">
        <v>227</v>
      </c>
      <c r="M4" s="29">
        <f aca="true" t="shared" si="0" ref="M4:M67">IF(K4="◎",J4,"")</f>
      </c>
    </row>
    <row r="5" spans="1:13" ht="14.25">
      <c r="A5" s="253"/>
      <c r="B5" s="254"/>
      <c r="C5" s="255"/>
      <c r="D5" s="256">
        <v>302</v>
      </c>
      <c r="E5" s="257"/>
      <c r="F5" s="258"/>
      <c r="G5" s="259"/>
      <c r="H5" s="260"/>
      <c r="I5" s="260"/>
      <c r="J5" s="261">
        <f>G5*H5*I5</f>
        <v>0</v>
      </c>
      <c r="K5" s="262"/>
      <c r="L5" s="263"/>
      <c r="M5" s="29">
        <f t="shared" si="0"/>
      </c>
    </row>
    <row r="6" spans="1:13" ht="14.25">
      <c r="A6" s="253"/>
      <c r="B6" s="254"/>
      <c r="C6" s="255"/>
      <c r="D6" s="256">
        <v>303</v>
      </c>
      <c r="E6" s="257"/>
      <c r="F6" s="258"/>
      <c r="G6" s="259"/>
      <c r="H6" s="260"/>
      <c r="I6" s="260"/>
      <c r="J6" s="261">
        <f aca="true" t="shared" si="1" ref="J6:J69">G6*H6*I6</f>
        <v>0</v>
      </c>
      <c r="K6" s="262"/>
      <c r="L6" s="263"/>
      <c r="M6" s="29">
        <f t="shared" si="0"/>
      </c>
    </row>
    <row r="7" spans="1:13" ht="14.25">
      <c r="A7" s="253"/>
      <c r="B7" s="254"/>
      <c r="C7" s="255"/>
      <c r="D7" s="256">
        <v>304</v>
      </c>
      <c r="E7" s="257"/>
      <c r="F7" s="258"/>
      <c r="G7" s="259"/>
      <c r="H7" s="260"/>
      <c r="I7" s="260"/>
      <c r="J7" s="261">
        <f t="shared" si="1"/>
        <v>0</v>
      </c>
      <c r="K7" s="262"/>
      <c r="L7" s="263"/>
      <c r="M7" s="29">
        <f t="shared" si="0"/>
      </c>
    </row>
    <row r="8" spans="1:13" ht="14.25">
      <c r="A8" s="253"/>
      <c r="B8" s="254"/>
      <c r="C8" s="255"/>
      <c r="D8" s="256">
        <v>305</v>
      </c>
      <c r="E8" s="257"/>
      <c r="F8" s="258"/>
      <c r="G8" s="259"/>
      <c r="H8" s="260"/>
      <c r="I8" s="260"/>
      <c r="J8" s="261">
        <f t="shared" si="1"/>
        <v>0</v>
      </c>
      <c r="K8" s="262"/>
      <c r="L8" s="263"/>
      <c r="M8" s="29">
        <f t="shared" si="0"/>
      </c>
    </row>
    <row r="9" spans="1:13" ht="14.25">
      <c r="A9" s="253"/>
      <c r="B9" s="254"/>
      <c r="C9" s="255"/>
      <c r="D9" s="256">
        <v>306</v>
      </c>
      <c r="E9" s="257"/>
      <c r="F9" s="258"/>
      <c r="G9" s="259"/>
      <c r="H9" s="260"/>
      <c r="I9" s="260"/>
      <c r="J9" s="261">
        <f t="shared" si="1"/>
        <v>0</v>
      </c>
      <c r="K9" s="262"/>
      <c r="L9" s="263"/>
      <c r="M9" s="29">
        <f t="shared" si="0"/>
      </c>
    </row>
    <row r="10" spans="1:13" ht="14.25">
      <c r="A10" s="253"/>
      <c r="B10" s="243"/>
      <c r="C10" s="244"/>
      <c r="D10" s="256">
        <v>307</v>
      </c>
      <c r="E10" s="246" t="s">
        <v>138</v>
      </c>
      <c r="F10" s="247" t="s">
        <v>225</v>
      </c>
      <c r="G10" s="259">
        <v>10000</v>
      </c>
      <c r="H10" s="260">
        <v>1</v>
      </c>
      <c r="I10" s="260">
        <v>1</v>
      </c>
      <c r="J10" s="261">
        <f t="shared" si="1"/>
        <v>10000</v>
      </c>
      <c r="K10" s="262"/>
      <c r="L10" s="263"/>
      <c r="M10" s="29">
        <f t="shared" si="0"/>
      </c>
    </row>
    <row r="11" spans="1:13" ht="13.5" customHeight="1">
      <c r="A11" s="253"/>
      <c r="B11" s="254" t="s">
        <v>274</v>
      </c>
      <c r="C11" s="255" t="s">
        <v>275</v>
      </c>
      <c r="D11" s="256">
        <v>308</v>
      </c>
      <c r="E11" s="257" t="s">
        <v>125</v>
      </c>
      <c r="F11" s="258" t="s">
        <v>303</v>
      </c>
      <c r="G11" s="267">
        <v>125500</v>
      </c>
      <c r="H11" s="260">
        <v>1</v>
      </c>
      <c r="I11" s="260">
        <v>1</v>
      </c>
      <c r="J11" s="261">
        <f t="shared" si="1"/>
        <v>125500</v>
      </c>
      <c r="K11" s="269"/>
      <c r="L11" s="270"/>
      <c r="M11" s="29">
        <f t="shared" si="0"/>
      </c>
    </row>
    <row r="12" spans="1:13" ht="14.25">
      <c r="A12" s="253"/>
      <c r="B12" s="254" t="s">
        <v>276</v>
      </c>
      <c r="C12" s="264" t="s">
        <v>282</v>
      </c>
      <c r="D12" s="256">
        <v>309</v>
      </c>
      <c r="E12" s="257" t="s">
        <v>125</v>
      </c>
      <c r="F12" s="258" t="s">
        <v>304</v>
      </c>
      <c r="G12" s="271">
        <v>30116</v>
      </c>
      <c r="H12" s="260">
        <v>1</v>
      </c>
      <c r="I12" s="260">
        <v>1</v>
      </c>
      <c r="J12" s="261">
        <f t="shared" si="1"/>
        <v>30116</v>
      </c>
      <c r="K12" s="273"/>
      <c r="L12" s="274"/>
      <c r="M12" s="29">
        <f t="shared" si="0"/>
      </c>
    </row>
    <row r="13" spans="1:13" ht="14.25">
      <c r="A13" s="253"/>
      <c r="B13" s="254" t="s">
        <v>277</v>
      </c>
      <c r="C13" s="255" t="s">
        <v>283</v>
      </c>
      <c r="D13" s="256">
        <v>310</v>
      </c>
      <c r="E13" s="257" t="s">
        <v>125</v>
      </c>
      <c r="F13" s="258" t="s">
        <v>305</v>
      </c>
      <c r="G13" s="271">
        <v>64800</v>
      </c>
      <c r="H13" s="260">
        <v>1</v>
      </c>
      <c r="I13" s="260">
        <v>1</v>
      </c>
      <c r="J13" s="261">
        <f t="shared" si="1"/>
        <v>64800</v>
      </c>
      <c r="K13" s="262"/>
      <c r="L13" s="263"/>
      <c r="M13" s="29">
        <f t="shared" si="0"/>
      </c>
    </row>
    <row r="14" spans="1:13" ht="13.5" customHeight="1">
      <c r="A14" s="253"/>
      <c r="B14" s="254" t="s">
        <v>278</v>
      </c>
      <c r="C14" s="255" t="s">
        <v>284</v>
      </c>
      <c r="D14" s="256">
        <v>311</v>
      </c>
      <c r="E14" s="257" t="s">
        <v>125</v>
      </c>
      <c r="F14" s="258" t="s">
        <v>306</v>
      </c>
      <c r="G14" s="259">
        <v>101494</v>
      </c>
      <c r="H14" s="260">
        <v>1</v>
      </c>
      <c r="I14" s="260">
        <v>1</v>
      </c>
      <c r="J14" s="261">
        <f t="shared" si="1"/>
        <v>101494</v>
      </c>
      <c r="K14" s="276"/>
      <c r="L14" s="263"/>
      <c r="M14" s="29">
        <f t="shared" si="0"/>
      </c>
    </row>
    <row r="15" spans="1:13" ht="13.5">
      <c r="A15" s="253"/>
      <c r="B15" s="254" t="s">
        <v>279</v>
      </c>
      <c r="C15" s="255" t="s">
        <v>285</v>
      </c>
      <c r="D15" s="256">
        <v>312</v>
      </c>
      <c r="E15" s="257" t="s">
        <v>125</v>
      </c>
      <c r="F15" s="258" t="s">
        <v>307</v>
      </c>
      <c r="G15" s="278">
        <v>207119</v>
      </c>
      <c r="H15" s="260">
        <v>1</v>
      </c>
      <c r="I15" s="260">
        <v>1</v>
      </c>
      <c r="J15" s="261">
        <f t="shared" si="1"/>
        <v>207119</v>
      </c>
      <c r="K15" s="280"/>
      <c r="L15" s="281"/>
      <c r="M15" s="29">
        <f t="shared" si="0"/>
      </c>
    </row>
    <row r="16" spans="1:13" ht="13.5">
      <c r="A16" s="253"/>
      <c r="B16" s="254" t="s">
        <v>280</v>
      </c>
      <c r="C16" s="255" t="s">
        <v>286</v>
      </c>
      <c r="D16" s="256">
        <v>313</v>
      </c>
      <c r="E16" s="258" t="s">
        <v>125</v>
      </c>
      <c r="F16" s="258" t="s">
        <v>308</v>
      </c>
      <c r="G16" s="259">
        <v>190008</v>
      </c>
      <c r="H16" s="260">
        <v>1</v>
      </c>
      <c r="I16" s="260">
        <v>1</v>
      </c>
      <c r="J16" s="261">
        <f t="shared" si="1"/>
        <v>190008</v>
      </c>
      <c r="K16" s="262"/>
      <c r="L16" s="263"/>
      <c r="M16" s="29">
        <f t="shared" si="0"/>
      </c>
    </row>
    <row r="17" spans="1:13" ht="13.5">
      <c r="A17" s="253"/>
      <c r="B17" s="254" t="s">
        <v>281</v>
      </c>
      <c r="C17" s="255" t="s">
        <v>287</v>
      </c>
      <c r="D17" s="256">
        <v>314</v>
      </c>
      <c r="E17" s="266" t="s">
        <v>125</v>
      </c>
      <c r="F17" s="258" t="s">
        <v>309</v>
      </c>
      <c r="G17" s="259">
        <v>40253</v>
      </c>
      <c r="H17" s="260">
        <v>1</v>
      </c>
      <c r="I17" s="260">
        <v>1</v>
      </c>
      <c r="J17" s="261">
        <f t="shared" si="1"/>
        <v>40253</v>
      </c>
      <c r="K17" s="262"/>
      <c r="L17" s="263"/>
      <c r="M17" s="29">
        <f t="shared" si="0"/>
      </c>
    </row>
    <row r="18" spans="1:13" ht="13.5">
      <c r="A18" s="253"/>
      <c r="B18" s="254" t="s">
        <v>296</v>
      </c>
      <c r="C18" s="255" t="s">
        <v>302</v>
      </c>
      <c r="D18" s="256">
        <v>315</v>
      </c>
      <c r="E18" s="257" t="s">
        <v>86</v>
      </c>
      <c r="F18" s="257" t="s">
        <v>313</v>
      </c>
      <c r="G18" s="259">
        <v>37840</v>
      </c>
      <c r="H18" s="260">
        <v>1</v>
      </c>
      <c r="I18" s="260">
        <v>1</v>
      </c>
      <c r="J18" s="261">
        <f t="shared" si="1"/>
        <v>37840</v>
      </c>
      <c r="K18" s="262"/>
      <c r="L18" s="263"/>
      <c r="M18" s="29">
        <f t="shared" si="0"/>
      </c>
    </row>
    <row r="19" spans="1:13" ht="13.5">
      <c r="A19" s="253"/>
      <c r="B19" s="254" t="s">
        <v>296</v>
      </c>
      <c r="C19" s="255" t="s">
        <v>302</v>
      </c>
      <c r="D19" s="256">
        <v>316</v>
      </c>
      <c r="E19" s="257" t="s">
        <v>86</v>
      </c>
      <c r="F19" s="257" t="s">
        <v>289</v>
      </c>
      <c r="G19" s="259">
        <v>0</v>
      </c>
      <c r="H19" s="260"/>
      <c r="I19" s="260"/>
      <c r="J19" s="261">
        <f t="shared" si="1"/>
        <v>0</v>
      </c>
      <c r="K19" s="262"/>
      <c r="L19" s="263"/>
      <c r="M19" s="29">
        <f t="shared" si="0"/>
      </c>
    </row>
    <row r="20" spans="1:13" ht="13.5">
      <c r="A20" s="253"/>
      <c r="B20" s="254" t="s">
        <v>295</v>
      </c>
      <c r="C20" s="255" t="s">
        <v>302</v>
      </c>
      <c r="D20" s="256">
        <v>317</v>
      </c>
      <c r="E20" s="258" t="s">
        <v>85</v>
      </c>
      <c r="F20" s="258" t="s">
        <v>290</v>
      </c>
      <c r="G20" s="259">
        <v>20000</v>
      </c>
      <c r="H20" s="260">
        <v>1</v>
      </c>
      <c r="I20" s="260">
        <v>1</v>
      </c>
      <c r="J20" s="261">
        <f t="shared" si="1"/>
        <v>20000</v>
      </c>
      <c r="K20" s="262"/>
      <c r="L20" s="263"/>
      <c r="M20" s="29">
        <f t="shared" si="0"/>
      </c>
    </row>
    <row r="21" spans="1:13" ht="13.5">
      <c r="A21" s="253"/>
      <c r="B21" s="254" t="s">
        <v>295</v>
      </c>
      <c r="C21" s="255" t="s">
        <v>302</v>
      </c>
      <c r="D21" s="256">
        <v>318</v>
      </c>
      <c r="E21" s="277" t="s">
        <v>85</v>
      </c>
      <c r="F21" s="277" t="s">
        <v>291</v>
      </c>
      <c r="G21" s="259">
        <v>10000</v>
      </c>
      <c r="H21" s="260">
        <v>1</v>
      </c>
      <c r="I21" s="260">
        <v>1</v>
      </c>
      <c r="J21" s="261">
        <f t="shared" si="1"/>
        <v>10000</v>
      </c>
      <c r="K21" s="262"/>
      <c r="L21" s="263"/>
      <c r="M21" s="29">
        <f t="shared" si="0"/>
      </c>
    </row>
    <row r="22" spans="1:13" ht="13.5">
      <c r="A22" s="253"/>
      <c r="B22" s="254" t="s">
        <v>296</v>
      </c>
      <c r="C22" s="255" t="s">
        <v>302</v>
      </c>
      <c r="D22" s="256">
        <v>319</v>
      </c>
      <c r="E22" s="258" t="s">
        <v>85</v>
      </c>
      <c r="F22" s="258" t="s">
        <v>292</v>
      </c>
      <c r="G22" s="259"/>
      <c r="H22" s="260"/>
      <c r="I22" s="260"/>
      <c r="J22" s="261">
        <f t="shared" si="1"/>
        <v>0</v>
      </c>
      <c r="K22" s="262"/>
      <c r="L22" s="263"/>
      <c r="M22" s="29">
        <f t="shared" si="0"/>
      </c>
    </row>
    <row r="23" spans="1:13" ht="13.5">
      <c r="A23" s="253"/>
      <c r="B23" s="254" t="s">
        <v>295</v>
      </c>
      <c r="C23" s="255" t="s">
        <v>302</v>
      </c>
      <c r="D23" s="256">
        <v>320</v>
      </c>
      <c r="E23" s="258" t="s">
        <v>85</v>
      </c>
      <c r="F23" s="258" t="s">
        <v>293</v>
      </c>
      <c r="G23" s="259">
        <v>5000</v>
      </c>
      <c r="H23" s="260">
        <v>15</v>
      </c>
      <c r="I23" s="260">
        <v>1</v>
      </c>
      <c r="J23" s="261">
        <f t="shared" si="1"/>
        <v>75000</v>
      </c>
      <c r="K23" s="262"/>
      <c r="L23" s="263"/>
      <c r="M23" s="29">
        <f t="shared" si="0"/>
      </c>
    </row>
    <row r="24" spans="1:13" ht="13.5">
      <c r="A24" s="253"/>
      <c r="B24" s="254" t="s">
        <v>295</v>
      </c>
      <c r="C24" s="255" t="s">
        <v>302</v>
      </c>
      <c r="D24" s="256">
        <v>321</v>
      </c>
      <c r="E24" s="258" t="s">
        <v>86</v>
      </c>
      <c r="F24" s="258" t="s">
        <v>294</v>
      </c>
      <c r="G24" s="259">
        <v>38000</v>
      </c>
      <c r="H24" s="260">
        <v>1</v>
      </c>
      <c r="I24" s="260">
        <v>1</v>
      </c>
      <c r="J24" s="261">
        <f t="shared" si="1"/>
        <v>38000</v>
      </c>
      <c r="K24" s="262"/>
      <c r="L24" s="263"/>
      <c r="M24" s="29">
        <f t="shared" si="0"/>
      </c>
    </row>
    <row r="25" spans="1:13" ht="13.5">
      <c r="A25" s="253"/>
      <c r="B25" s="254" t="s">
        <v>295</v>
      </c>
      <c r="C25" s="255" t="s">
        <v>302</v>
      </c>
      <c r="D25" s="256">
        <v>322</v>
      </c>
      <c r="E25" s="258" t="s">
        <v>138</v>
      </c>
      <c r="F25" s="258" t="s">
        <v>310</v>
      </c>
      <c r="G25" s="259"/>
      <c r="H25" s="260"/>
      <c r="I25" s="260"/>
      <c r="J25" s="261">
        <f t="shared" si="1"/>
        <v>0</v>
      </c>
      <c r="K25" s="262"/>
      <c r="L25" s="263"/>
      <c r="M25" s="29">
        <f t="shared" si="0"/>
      </c>
    </row>
    <row r="26" spans="1:13" ht="13.5">
      <c r="A26" s="253"/>
      <c r="B26" s="254" t="s">
        <v>295</v>
      </c>
      <c r="C26" s="255" t="s">
        <v>302</v>
      </c>
      <c r="D26" s="256">
        <v>323</v>
      </c>
      <c r="E26" s="258" t="s">
        <v>138</v>
      </c>
      <c r="F26" s="258" t="s">
        <v>311</v>
      </c>
      <c r="G26" s="259"/>
      <c r="H26" s="260"/>
      <c r="I26" s="260"/>
      <c r="J26" s="261">
        <f t="shared" si="1"/>
        <v>0</v>
      </c>
      <c r="K26" s="262"/>
      <c r="L26" s="263"/>
      <c r="M26" s="29">
        <f t="shared" si="0"/>
      </c>
    </row>
    <row r="27" spans="1:13" ht="13.5">
      <c r="A27" s="253"/>
      <c r="B27" s="254" t="s">
        <v>315</v>
      </c>
      <c r="C27" s="255" t="s">
        <v>302</v>
      </c>
      <c r="D27" s="256">
        <v>324</v>
      </c>
      <c r="E27" s="258" t="s">
        <v>125</v>
      </c>
      <c r="F27" s="258" t="s">
        <v>312</v>
      </c>
      <c r="G27" s="259">
        <v>3000</v>
      </c>
      <c r="H27" s="260">
        <v>1</v>
      </c>
      <c r="I27" s="260">
        <v>1</v>
      </c>
      <c r="J27" s="261">
        <f t="shared" si="1"/>
        <v>3000</v>
      </c>
      <c r="K27" s="262"/>
      <c r="L27" s="263"/>
      <c r="M27" s="29">
        <f t="shared" si="0"/>
      </c>
    </row>
    <row r="28" spans="1:13" ht="13.5">
      <c r="A28" s="253"/>
      <c r="B28" s="254" t="s">
        <v>296</v>
      </c>
      <c r="C28" s="255" t="s">
        <v>302</v>
      </c>
      <c r="D28" s="256">
        <v>325</v>
      </c>
      <c r="E28" s="258" t="s">
        <v>314</v>
      </c>
      <c r="F28" s="258" t="s">
        <v>292</v>
      </c>
      <c r="G28" s="259">
        <v>27280</v>
      </c>
      <c r="H28" s="260">
        <v>1</v>
      </c>
      <c r="I28" s="260">
        <v>1</v>
      </c>
      <c r="J28" s="261">
        <f t="shared" si="1"/>
        <v>27280</v>
      </c>
      <c r="K28" s="262"/>
      <c r="L28" s="263"/>
      <c r="M28" s="29">
        <f t="shared" si="0"/>
      </c>
    </row>
    <row r="29" spans="1:13" ht="13.5">
      <c r="A29" s="253"/>
      <c r="B29" s="254" t="s">
        <v>295</v>
      </c>
      <c r="C29" s="255" t="s">
        <v>302</v>
      </c>
      <c r="D29" s="256">
        <v>326</v>
      </c>
      <c r="E29" s="258" t="s">
        <v>138</v>
      </c>
      <c r="F29" s="258" t="s">
        <v>316</v>
      </c>
      <c r="G29" s="259">
        <v>9000</v>
      </c>
      <c r="H29" s="260">
        <v>1</v>
      </c>
      <c r="I29" s="260">
        <v>1</v>
      </c>
      <c r="J29" s="261">
        <f t="shared" si="1"/>
        <v>9000</v>
      </c>
      <c r="K29" s="262"/>
      <c r="L29" s="263"/>
      <c r="M29" s="29">
        <f t="shared" si="0"/>
      </c>
    </row>
    <row r="30" spans="1:13" ht="13.5">
      <c r="A30" s="253"/>
      <c r="B30" s="254"/>
      <c r="C30" s="255"/>
      <c r="D30" s="256">
        <v>327</v>
      </c>
      <c r="E30" s="258"/>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4"/>
      <c r="D54" s="256">
        <v>351</v>
      </c>
      <c r="E54" s="258"/>
      <c r="F54" s="258"/>
      <c r="G54" s="259"/>
      <c r="H54" s="260"/>
      <c r="I54" s="260"/>
      <c r="J54" s="261">
        <f t="shared" si="1"/>
        <v>0</v>
      </c>
      <c r="K54" s="262"/>
      <c r="L54" s="263"/>
      <c r="M54" s="29">
        <f t="shared" si="0"/>
      </c>
    </row>
    <row r="55" spans="1:13" ht="13.5">
      <c r="A55" s="283"/>
      <c r="B55" s="284"/>
      <c r="C55" s="484"/>
      <c r="D55" s="256">
        <v>352</v>
      </c>
      <c r="E55" s="258"/>
      <c r="F55" s="258"/>
      <c r="G55" s="259"/>
      <c r="H55" s="260"/>
      <c r="I55" s="260"/>
      <c r="J55" s="261">
        <f t="shared" si="1"/>
        <v>0</v>
      </c>
      <c r="K55" s="262"/>
      <c r="L55" s="263"/>
      <c r="M55" s="29">
        <f t="shared" si="0"/>
      </c>
    </row>
    <row r="56" spans="1:13" ht="13.5">
      <c r="A56" s="283"/>
      <c r="B56" s="284"/>
      <c r="C56" s="484"/>
      <c r="D56" s="256">
        <v>353</v>
      </c>
      <c r="E56" s="258"/>
      <c r="F56" s="258"/>
      <c r="G56" s="259"/>
      <c r="H56" s="260"/>
      <c r="I56" s="260"/>
      <c r="J56" s="261">
        <f t="shared" si="1"/>
        <v>0</v>
      </c>
      <c r="K56" s="262"/>
      <c r="L56" s="263"/>
      <c r="M56" s="29">
        <f t="shared" si="0"/>
      </c>
    </row>
    <row r="57" spans="1:13" ht="13.5">
      <c r="A57" s="283"/>
      <c r="B57" s="284"/>
      <c r="C57" s="484"/>
      <c r="D57" s="256">
        <v>354</v>
      </c>
      <c r="E57" s="258"/>
      <c r="F57" s="258"/>
      <c r="G57" s="259"/>
      <c r="H57" s="260"/>
      <c r="I57" s="260"/>
      <c r="J57" s="261">
        <f t="shared" si="1"/>
        <v>0</v>
      </c>
      <c r="K57" s="262"/>
      <c r="L57" s="263"/>
      <c r="M57" s="29">
        <f t="shared" si="0"/>
      </c>
    </row>
    <row r="58" spans="1:13" ht="13.5">
      <c r="A58" s="283"/>
      <c r="B58" s="284"/>
      <c r="C58" s="484"/>
      <c r="D58" s="256">
        <v>355</v>
      </c>
      <c r="E58" s="258"/>
      <c r="F58" s="258"/>
      <c r="G58" s="259"/>
      <c r="H58" s="260"/>
      <c r="I58" s="260"/>
      <c r="J58" s="261">
        <f t="shared" si="1"/>
        <v>0</v>
      </c>
      <c r="K58" s="262"/>
      <c r="L58" s="263"/>
      <c r="M58" s="29">
        <f t="shared" si="0"/>
      </c>
    </row>
    <row r="59" spans="1:13" ht="13.5">
      <c r="A59" s="283"/>
      <c r="B59" s="284"/>
      <c r="C59" s="484"/>
      <c r="D59" s="256">
        <v>356</v>
      </c>
      <c r="E59" s="258"/>
      <c r="F59" s="258"/>
      <c r="G59" s="259"/>
      <c r="H59" s="260"/>
      <c r="I59" s="260"/>
      <c r="J59" s="261">
        <f t="shared" si="1"/>
        <v>0</v>
      </c>
      <c r="K59" s="262"/>
      <c r="L59" s="263"/>
      <c r="M59" s="29">
        <f t="shared" si="0"/>
      </c>
    </row>
    <row r="60" spans="1:13" ht="13.5">
      <c r="A60" s="283"/>
      <c r="B60" s="284"/>
      <c r="C60" s="484"/>
      <c r="D60" s="256">
        <v>357</v>
      </c>
      <c r="E60" s="258"/>
      <c r="F60" s="258"/>
      <c r="G60" s="259"/>
      <c r="H60" s="260"/>
      <c r="I60" s="260"/>
      <c r="J60" s="261">
        <f t="shared" si="1"/>
        <v>0</v>
      </c>
      <c r="K60" s="262"/>
      <c r="L60" s="263"/>
      <c r="M60" s="29">
        <f t="shared" si="0"/>
      </c>
    </row>
    <row r="61" spans="1:13" ht="13.5">
      <c r="A61" s="283"/>
      <c r="B61" s="284"/>
      <c r="C61" s="484"/>
      <c r="D61" s="256">
        <v>358</v>
      </c>
      <c r="E61" s="258"/>
      <c r="F61" s="258"/>
      <c r="G61" s="259"/>
      <c r="H61" s="260"/>
      <c r="I61" s="260"/>
      <c r="J61" s="261">
        <f t="shared" si="1"/>
        <v>0</v>
      </c>
      <c r="K61" s="262"/>
      <c r="L61" s="263"/>
      <c r="M61" s="29">
        <f t="shared" si="0"/>
      </c>
    </row>
    <row r="62" spans="1:13" ht="13.5">
      <c r="A62" s="283"/>
      <c r="B62" s="284"/>
      <c r="C62" s="484"/>
      <c r="D62" s="256">
        <v>359</v>
      </c>
      <c r="E62" s="258"/>
      <c r="F62" s="258"/>
      <c r="G62" s="259"/>
      <c r="H62" s="260"/>
      <c r="I62" s="260"/>
      <c r="J62" s="261">
        <f t="shared" si="1"/>
        <v>0</v>
      </c>
      <c r="K62" s="262"/>
      <c r="L62" s="263"/>
      <c r="M62" s="29">
        <f t="shared" si="0"/>
      </c>
    </row>
    <row r="63" spans="1:13" ht="13.5">
      <c r="A63" s="283"/>
      <c r="B63" s="284"/>
      <c r="C63" s="484"/>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79"/>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1" t="s">
        <v>97</v>
      </c>
      <c r="H106" s="573" t="s">
        <v>176</v>
      </c>
      <c r="I106" s="573"/>
      <c r="J106" s="573" t="s">
        <v>98</v>
      </c>
      <c r="K106" s="574"/>
    </row>
    <row r="107" spans="4:11" ht="14.25" thickTop="1">
      <c r="D107" s="232"/>
      <c r="F107" s="298" t="s">
        <v>85</v>
      </c>
      <c r="G107" s="360">
        <f>SUMIF($E$4:$E$103,F107,$J$4:$J$103)</f>
        <v>105000</v>
      </c>
      <c r="H107" s="548">
        <f>SUMIF($E$4:$E$103,F107,$M$4:$M$103)</f>
        <v>0</v>
      </c>
      <c r="I107" s="548"/>
      <c r="J107" s="548">
        <f aca="true" t="shared" si="4" ref="J107:J115">G107-H107</f>
        <v>105000</v>
      </c>
      <c r="K107" s="611"/>
    </row>
    <row r="108" spans="4:11" ht="13.5">
      <c r="D108" s="232"/>
      <c r="F108" s="299" t="s">
        <v>86</v>
      </c>
      <c r="G108" s="359">
        <f aca="true" t="shared" si="5" ref="G108:G115">SUMIF($E$4:$E$103,F108,$J$4:$J$103)</f>
        <v>103120</v>
      </c>
      <c r="H108" s="526">
        <f aca="true" t="shared" si="6" ref="H108:H114">SUMIF($E$4:$E$103,F108,$M$4:$M$103)</f>
        <v>0</v>
      </c>
      <c r="I108" s="526"/>
      <c r="J108" s="526">
        <f t="shared" si="4"/>
        <v>103120</v>
      </c>
      <c r="K108" s="529"/>
    </row>
    <row r="109" spans="4:11" ht="13.5">
      <c r="D109" s="232"/>
      <c r="F109" s="299" t="s">
        <v>125</v>
      </c>
      <c r="G109" s="359">
        <f t="shared" si="5"/>
        <v>762290</v>
      </c>
      <c r="H109" s="526">
        <f t="shared" si="6"/>
        <v>0</v>
      </c>
      <c r="I109" s="526"/>
      <c r="J109" s="526">
        <f t="shared" si="4"/>
        <v>762290</v>
      </c>
      <c r="K109" s="529"/>
    </row>
    <row r="110" spans="4:11" ht="13.5">
      <c r="D110" s="232"/>
      <c r="F110" s="299" t="s">
        <v>126</v>
      </c>
      <c r="G110" s="359">
        <f t="shared" si="5"/>
        <v>0</v>
      </c>
      <c r="H110" s="526">
        <f t="shared" si="6"/>
        <v>0</v>
      </c>
      <c r="I110" s="526"/>
      <c r="J110" s="526">
        <f t="shared" si="4"/>
        <v>0</v>
      </c>
      <c r="K110" s="529"/>
    </row>
    <row r="111" spans="4:11" ht="13.5">
      <c r="D111" s="232"/>
      <c r="F111" s="299" t="s">
        <v>87</v>
      </c>
      <c r="G111" s="359">
        <f t="shared" si="5"/>
        <v>0</v>
      </c>
      <c r="H111" s="526">
        <f t="shared" si="6"/>
        <v>0</v>
      </c>
      <c r="I111" s="526"/>
      <c r="J111" s="526">
        <f t="shared" si="4"/>
        <v>0</v>
      </c>
      <c r="K111" s="529"/>
    </row>
    <row r="112" spans="4:11" ht="13.5">
      <c r="D112" s="232"/>
      <c r="F112" s="299" t="s">
        <v>88</v>
      </c>
      <c r="G112" s="359">
        <f t="shared" si="5"/>
        <v>0</v>
      </c>
      <c r="H112" s="526">
        <f t="shared" si="6"/>
        <v>0</v>
      </c>
      <c r="I112" s="526"/>
      <c r="J112" s="526">
        <f t="shared" si="4"/>
        <v>0</v>
      </c>
      <c r="K112" s="529"/>
    </row>
    <row r="113" spans="4:11" ht="13.5">
      <c r="D113" s="232"/>
      <c r="F113" s="299" t="s">
        <v>89</v>
      </c>
      <c r="G113" s="359">
        <f t="shared" si="5"/>
        <v>0</v>
      </c>
      <c r="H113" s="526">
        <f t="shared" si="6"/>
        <v>0</v>
      </c>
      <c r="I113" s="526"/>
      <c r="J113" s="526">
        <f t="shared" si="4"/>
        <v>0</v>
      </c>
      <c r="K113" s="529"/>
    </row>
    <row r="114" spans="4:11" ht="13.5">
      <c r="D114" s="232"/>
      <c r="F114" s="299" t="s">
        <v>90</v>
      </c>
      <c r="G114" s="359">
        <f t="shared" si="5"/>
        <v>0</v>
      </c>
      <c r="H114" s="526">
        <f t="shared" si="6"/>
        <v>0</v>
      </c>
      <c r="I114" s="526"/>
      <c r="J114" s="526">
        <f t="shared" si="4"/>
        <v>0</v>
      </c>
      <c r="K114" s="529"/>
    </row>
    <row r="115" spans="4:11" ht="14.25" thickBot="1">
      <c r="D115" s="232"/>
      <c r="F115" s="298" t="s">
        <v>138</v>
      </c>
      <c r="G115" s="359">
        <f t="shared" si="5"/>
        <v>19000</v>
      </c>
      <c r="H115" s="600">
        <f>SUMIF($E$4:$E$103,F115,$M$4:$M$103)+'2-3'!I122</f>
        <v>0</v>
      </c>
      <c r="I115" s="600"/>
      <c r="J115" s="600">
        <f t="shared" si="4"/>
        <v>19000</v>
      </c>
      <c r="K115" s="601"/>
    </row>
    <row r="116" spans="4:11" ht="15" thickBot="1" thickTop="1">
      <c r="D116" s="389"/>
      <c r="F116" s="300" t="s">
        <v>15</v>
      </c>
      <c r="G116" s="361">
        <f>SUM(G107:G115)</f>
        <v>989410</v>
      </c>
      <c r="H116" s="597">
        <f>SUM(H107:I115)</f>
        <v>0</v>
      </c>
      <c r="I116" s="597"/>
      <c r="J116" s="597">
        <f>SUM(J107:K115)</f>
        <v>989410</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8" operator="equal" stopIfTrue="1">
      <formula>0</formula>
    </cfRule>
  </conditionalFormatting>
  <conditionalFormatting sqref="J104">
    <cfRule type="cellIs" priority="4"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3" t="s">
        <v>136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1" t="s">
        <v>142</v>
      </c>
      <c r="C3" s="59" t="s">
        <v>144</v>
      </c>
      <c r="D3" s="390" t="s">
        <v>147</v>
      </c>
      <c r="E3" s="96" t="s">
        <v>0</v>
      </c>
      <c r="F3" s="96" t="s">
        <v>197</v>
      </c>
      <c r="G3" s="96" t="s">
        <v>91</v>
      </c>
      <c r="H3" s="476" t="s">
        <v>246</v>
      </c>
      <c r="I3" s="96" t="s">
        <v>92</v>
      </c>
      <c r="J3" s="96" t="s">
        <v>93</v>
      </c>
      <c r="K3" s="229" t="s">
        <v>111</v>
      </c>
      <c r="L3" s="297" t="s">
        <v>107</v>
      </c>
      <c r="M3" s="29" t="s">
        <v>99</v>
      </c>
    </row>
    <row r="4" spans="1:13" ht="13.5" customHeight="1">
      <c r="A4" s="362"/>
      <c r="B4" s="391"/>
      <c r="C4" s="392"/>
      <c r="D4" s="245">
        <v>101</v>
      </c>
      <c r="E4" s="246"/>
      <c r="F4" s="247"/>
      <c r="G4" s="248"/>
      <c r="H4" s="249"/>
      <c r="I4" s="249"/>
      <c r="J4" s="250">
        <f>G4*H4*I4</f>
        <v>0</v>
      </c>
      <c r="K4" s="251"/>
      <c r="L4" s="252"/>
      <c r="M4" s="29">
        <f aca="true" t="shared" si="0" ref="M4:M23">IF(K4="◎",J4,"")</f>
      </c>
    </row>
    <row r="5" spans="1:13" ht="13.5" customHeight="1">
      <c r="A5" s="253"/>
      <c r="B5" s="393"/>
      <c r="C5" s="394"/>
      <c r="D5" s="256">
        <v>102</v>
      </c>
      <c r="E5" s="257"/>
      <c r="F5" s="258"/>
      <c r="G5" s="259"/>
      <c r="H5" s="260"/>
      <c r="I5" s="260"/>
      <c r="J5" s="261">
        <f>G5*H5*I5</f>
        <v>0</v>
      </c>
      <c r="K5" s="262"/>
      <c r="L5" s="263"/>
      <c r="M5" s="29">
        <f t="shared" si="0"/>
      </c>
    </row>
    <row r="6" spans="1:13" ht="13.5" customHeight="1">
      <c r="A6" s="253"/>
      <c r="B6" s="395"/>
      <c r="C6" s="394"/>
      <c r="D6" s="256">
        <v>103</v>
      </c>
      <c r="E6" s="257"/>
      <c r="F6" s="258"/>
      <c r="G6" s="259"/>
      <c r="H6" s="260"/>
      <c r="I6" s="260"/>
      <c r="J6" s="261">
        <f aca="true" t="shared" si="1" ref="J6:J23">G6*H6*I6</f>
        <v>0</v>
      </c>
      <c r="K6" s="262"/>
      <c r="L6" s="263"/>
      <c r="M6" s="29">
        <f t="shared" si="0"/>
      </c>
    </row>
    <row r="7" spans="1:13" ht="13.5" customHeight="1">
      <c r="A7" s="253"/>
      <c r="B7" s="395"/>
      <c r="C7" s="394"/>
      <c r="D7" s="256">
        <v>104</v>
      </c>
      <c r="E7" s="257"/>
      <c r="F7" s="258"/>
      <c r="G7" s="259"/>
      <c r="H7" s="260"/>
      <c r="I7" s="260"/>
      <c r="J7" s="261">
        <f t="shared" si="1"/>
        <v>0</v>
      </c>
      <c r="K7" s="262"/>
      <c r="L7" s="263"/>
      <c r="M7" s="29">
        <f t="shared" si="0"/>
      </c>
    </row>
    <row r="8" spans="1:13" ht="13.5" customHeight="1">
      <c r="A8" s="253"/>
      <c r="B8" s="395"/>
      <c r="C8" s="394"/>
      <c r="D8" s="256">
        <v>105</v>
      </c>
      <c r="E8" s="257"/>
      <c r="F8" s="258"/>
      <c r="G8" s="259"/>
      <c r="H8" s="260"/>
      <c r="I8" s="260"/>
      <c r="J8" s="261">
        <f t="shared" si="1"/>
        <v>0</v>
      </c>
      <c r="K8" s="262"/>
      <c r="L8" s="263"/>
      <c r="M8" s="29">
        <f t="shared" si="0"/>
      </c>
    </row>
    <row r="9" spans="1:13" ht="13.5" customHeight="1">
      <c r="A9" s="253"/>
      <c r="B9" s="395"/>
      <c r="C9" s="394"/>
      <c r="D9" s="256">
        <v>106</v>
      </c>
      <c r="E9" s="257"/>
      <c r="F9" s="258"/>
      <c r="G9" s="259"/>
      <c r="H9" s="260"/>
      <c r="I9" s="260"/>
      <c r="J9" s="261">
        <f t="shared" si="1"/>
        <v>0</v>
      </c>
      <c r="K9" s="262"/>
      <c r="L9" s="263"/>
      <c r="M9" s="29">
        <f t="shared" si="0"/>
      </c>
    </row>
    <row r="10" spans="1:13" ht="13.5" customHeight="1">
      <c r="A10" s="253"/>
      <c r="B10" s="395"/>
      <c r="C10" s="394"/>
      <c r="D10" s="256">
        <v>107</v>
      </c>
      <c r="E10" s="258"/>
      <c r="F10" s="258"/>
      <c r="G10" s="259"/>
      <c r="H10" s="260"/>
      <c r="I10" s="260"/>
      <c r="J10" s="261">
        <f t="shared" si="1"/>
        <v>0</v>
      </c>
      <c r="K10" s="262"/>
      <c r="L10" s="263"/>
      <c r="M10" s="29">
        <f t="shared" si="0"/>
      </c>
    </row>
    <row r="11" spans="1:13" ht="13.5" customHeight="1">
      <c r="A11" s="253"/>
      <c r="B11" s="395"/>
      <c r="C11" s="396"/>
      <c r="D11" s="256">
        <v>108</v>
      </c>
      <c r="E11" s="258"/>
      <c r="F11" s="266"/>
      <c r="G11" s="259"/>
      <c r="H11" s="260"/>
      <c r="I11" s="260"/>
      <c r="J11" s="261">
        <f t="shared" si="1"/>
        <v>0</v>
      </c>
      <c r="K11" s="269"/>
      <c r="L11" s="270"/>
      <c r="M11" s="29">
        <f t="shared" si="0"/>
      </c>
    </row>
    <row r="12" spans="1:13" ht="13.5" customHeight="1">
      <c r="A12" s="253"/>
      <c r="B12" s="395"/>
      <c r="C12" s="394"/>
      <c r="D12" s="256">
        <v>109</v>
      </c>
      <c r="E12" s="258"/>
      <c r="F12" s="257"/>
      <c r="G12" s="259"/>
      <c r="H12" s="260"/>
      <c r="I12" s="260"/>
      <c r="J12" s="261">
        <f t="shared" si="1"/>
        <v>0</v>
      </c>
      <c r="K12" s="273"/>
      <c r="L12" s="274"/>
      <c r="M12" s="29">
        <f t="shared" si="0"/>
      </c>
    </row>
    <row r="13" spans="1:13" ht="13.5" customHeight="1">
      <c r="A13" s="253"/>
      <c r="B13" s="395"/>
      <c r="C13" s="394"/>
      <c r="D13" s="256">
        <v>110</v>
      </c>
      <c r="E13" s="258"/>
      <c r="F13" s="257"/>
      <c r="G13" s="259"/>
      <c r="H13" s="260"/>
      <c r="I13" s="260"/>
      <c r="J13" s="261">
        <f t="shared" si="1"/>
        <v>0</v>
      </c>
      <c r="K13" s="262"/>
      <c r="L13" s="263"/>
      <c r="M13" s="29">
        <f t="shared" si="0"/>
      </c>
    </row>
    <row r="14" spans="1:13" ht="13.5" customHeight="1">
      <c r="A14" s="253"/>
      <c r="B14" s="395"/>
      <c r="C14" s="394"/>
      <c r="D14" s="256">
        <v>111</v>
      </c>
      <c r="E14" s="257"/>
      <c r="F14" s="258"/>
      <c r="G14" s="259"/>
      <c r="H14" s="260"/>
      <c r="I14" s="260"/>
      <c r="J14" s="261">
        <f t="shared" si="1"/>
        <v>0</v>
      </c>
      <c r="K14" s="262"/>
      <c r="L14" s="263"/>
      <c r="M14" s="29">
        <f t="shared" si="0"/>
      </c>
    </row>
    <row r="15" spans="1:13" ht="13.5" customHeight="1">
      <c r="A15" s="253"/>
      <c r="B15" s="395"/>
      <c r="C15" s="394"/>
      <c r="D15" s="256">
        <v>112</v>
      </c>
      <c r="E15" s="257"/>
      <c r="F15" s="258"/>
      <c r="G15" s="259"/>
      <c r="H15" s="260"/>
      <c r="I15" s="260"/>
      <c r="J15" s="261">
        <f t="shared" si="1"/>
        <v>0</v>
      </c>
      <c r="K15" s="262"/>
      <c r="L15" s="263"/>
      <c r="M15" s="29">
        <f t="shared" si="0"/>
      </c>
    </row>
    <row r="16" spans="1:13" ht="13.5" customHeight="1">
      <c r="A16" s="253"/>
      <c r="B16" s="395"/>
      <c r="C16" s="394"/>
      <c r="D16" s="256">
        <v>113</v>
      </c>
      <c r="E16" s="257"/>
      <c r="F16" s="258"/>
      <c r="G16" s="259"/>
      <c r="H16" s="260"/>
      <c r="I16" s="260"/>
      <c r="J16" s="261">
        <f t="shared" si="1"/>
        <v>0</v>
      </c>
      <c r="K16" s="262"/>
      <c r="L16" s="263"/>
      <c r="M16" s="29">
        <f t="shared" si="0"/>
      </c>
    </row>
    <row r="17" spans="1:13" ht="13.5" customHeight="1">
      <c r="A17" s="253"/>
      <c r="B17" s="395"/>
      <c r="C17" s="394"/>
      <c r="D17" s="256">
        <v>114</v>
      </c>
      <c r="E17" s="257"/>
      <c r="F17" s="258"/>
      <c r="G17" s="259"/>
      <c r="H17" s="260"/>
      <c r="I17" s="260"/>
      <c r="J17" s="261">
        <f t="shared" si="1"/>
        <v>0</v>
      </c>
      <c r="K17" s="262"/>
      <c r="L17" s="263"/>
      <c r="M17" s="29">
        <f t="shared" si="0"/>
      </c>
    </row>
    <row r="18" spans="1:13" ht="13.5" customHeight="1">
      <c r="A18" s="253"/>
      <c r="B18" s="395"/>
      <c r="C18" s="394"/>
      <c r="D18" s="256">
        <v>115</v>
      </c>
      <c r="E18" s="257"/>
      <c r="F18" s="258"/>
      <c r="G18" s="259"/>
      <c r="H18" s="260"/>
      <c r="I18" s="260"/>
      <c r="J18" s="261">
        <f t="shared" si="1"/>
        <v>0</v>
      </c>
      <c r="K18" s="262"/>
      <c r="L18" s="263"/>
      <c r="M18" s="29">
        <f t="shared" si="0"/>
      </c>
    </row>
    <row r="19" spans="1:13" ht="13.5" customHeight="1">
      <c r="A19" s="253"/>
      <c r="B19" s="395"/>
      <c r="C19" s="394"/>
      <c r="D19" s="256">
        <v>116</v>
      </c>
      <c r="E19" s="258"/>
      <c r="F19" s="258"/>
      <c r="G19" s="259"/>
      <c r="H19" s="260"/>
      <c r="I19" s="260"/>
      <c r="J19" s="261">
        <f t="shared" si="1"/>
        <v>0</v>
      </c>
      <c r="K19" s="262"/>
      <c r="L19" s="263"/>
      <c r="M19" s="29">
        <f t="shared" si="0"/>
      </c>
    </row>
    <row r="20" spans="1:13" ht="13.5" customHeight="1">
      <c r="A20" s="253"/>
      <c r="B20" s="395"/>
      <c r="C20" s="394"/>
      <c r="D20" s="256">
        <v>117</v>
      </c>
      <c r="E20" s="266"/>
      <c r="F20" s="258"/>
      <c r="G20" s="267"/>
      <c r="H20" s="268"/>
      <c r="I20" s="268"/>
      <c r="J20" s="261">
        <f t="shared" si="1"/>
        <v>0</v>
      </c>
      <c r="K20" s="262"/>
      <c r="L20" s="263"/>
      <c r="M20" s="29">
        <f t="shared" si="0"/>
      </c>
    </row>
    <row r="21" spans="1:13" ht="13.5" customHeight="1">
      <c r="A21" s="253"/>
      <c r="B21" s="395"/>
      <c r="C21" s="394"/>
      <c r="D21" s="256">
        <v>118</v>
      </c>
      <c r="E21" s="257"/>
      <c r="F21" s="258"/>
      <c r="G21" s="259"/>
      <c r="H21" s="260"/>
      <c r="I21" s="260"/>
      <c r="J21" s="261">
        <f t="shared" si="1"/>
        <v>0</v>
      </c>
      <c r="K21" s="262"/>
      <c r="L21" s="263"/>
      <c r="M21" s="29">
        <f t="shared" si="0"/>
      </c>
    </row>
    <row r="22" spans="1:13" ht="13.5" customHeight="1">
      <c r="A22" s="253"/>
      <c r="B22" s="395"/>
      <c r="C22" s="394"/>
      <c r="D22" s="256">
        <v>119</v>
      </c>
      <c r="E22" s="258"/>
      <c r="F22" s="258"/>
      <c r="G22" s="259"/>
      <c r="H22" s="260"/>
      <c r="I22" s="260"/>
      <c r="J22" s="261">
        <f t="shared" si="1"/>
        <v>0</v>
      </c>
      <c r="K22" s="262"/>
      <c r="L22" s="263"/>
      <c r="M22" s="29">
        <f t="shared" si="0"/>
      </c>
    </row>
    <row r="23" spans="1:13" ht="13.5" customHeight="1" thickBot="1">
      <c r="A23" s="397"/>
      <c r="B23" s="398"/>
      <c r="C23" s="399"/>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73" t="s">
        <v>176</v>
      </c>
      <c r="I26" s="573"/>
      <c r="J26" s="573" t="s">
        <v>173</v>
      </c>
      <c r="K26" s="574"/>
    </row>
    <row r="27" spans="2:11" ht="13.5" customHeight="1" thickTop="1">
      <c r="B27" s="53"/>
      <c r="C27" s="53"/>
      <c r="D27" s="67"/>
      <c r="F27" s="298" t="s">
        <v>85</v>
      </c>
      <c r="G27" s="349">
        <f>SUMIF($E$4:$E$23,F27,$J$4:$J$23)</f>
        <v>0</v>
      </c>
      <c r="H27" s="548">
        <f>SUMIF($E$4:$E$23,F27,$M$4:$M$23)</f>
        <v>0</v>
      </c>
      <c r="I27" s="548"/>
      <c r="J27" s="548">
        <f aca="true" t="shared" si="2" ref="J27:J35">G27-H27</f>
        <v>0</v>
      </c>
      <c r="K27" s="611"/>
    </row>
    <row r="28" spans="2:11" ht="13.5" customHeight="1">
      <c r="B28" s="53"/>
      <c r="C28" s="53"/>
      <c r="D28" s="67"/>
      <c r="F28" s="299" t="s">
        <v>86</v>
      </c>
      <c r="G28" s="349">
        <f aca="true" t="shared" si="3" ref="G28:G35">SUMIF($E$4:$E$23,F28,$J$4:$J$23)</f>
        <v>0</v>
      </c>
      <c r="H28" s="526">
        <f aca="true" t="shared" si="4" ref="H28:H35">SUMIF($E$4:$E$23,F28,$M$4:$M$23)</f>
        <v>0</v>
      </c>
      <c r="I28" s="526"/>
      <c r="J28" s="526">
        <f t="shared" si="2"/>
        <v>0</v>
      </c>
      <c r="K28" s="529"/>
    </row>
    <row r="29" spans="2:11" ht="13.5" customHeight="1">
      <c r="B29" s="53"/>
      <c r="C29" s="53"/>
      <c r="D29" s="67"/>
      <c r="F29" s="299" t="s">
        <v>125</v>
      </c>
      <c r="G29" s="349">
        <f t="shared" si="3"/>
        <v>0</v>
      </c>
      <c r="H29" s="526">
        <f t="shared" si="4"/>
        <v>0</v>
      </c>
      <c r="I29" s="526"/>
      <c r="J29" s="526">
        <f t="shared" si="2"/>
        <v>0</v>
      </c>
      <c r="K29" s="529"/>
    </row>
    <row r="30" spans="2:11" ht="13.5" customHeight="1">
      <c r="B30" s="53"/>
      <c r="C30" s="53"/>
      <c r="D30" s="67"/>
      <c r="F30" s="299" t="s">
        <v>126</v>
      </c>
      <c r="G30" s="349">
        <f t="shared" si="3"/>
        <v>0</v>
      </c>
      <c r="H30" s="526">
        <f t="shared" si="4"/>
        <v>0</v>
      </c>
      <c r="I30" s="526"/>
      <c r="J30" s="526">
        <f t="shared" si="2"/>
        <v>0</v>
      </c>
      <c r="K30" s="529"/>
    </row>
    <row r="31" spans="2:11" ht="13.5" customHeight="1">
      <c r="B31" s="53"/>
      <c r="C31" s="53"/>
      <c r="D31" s="67"/>
      <c r="F31" s="299" t="s">
        <v>87</v>
      </c>
      <c r="G31" s="349">
        <f t="shared" si="3"/>
        <v>0</v>
      </c>
      <c r="H31" s="526">
        <f t="shared" si="4"/>
        <v>0</v>
      </c>
      <c r="I31" s="526"/>
      <c r="J31" s="526">
        <f t="shared" si="2"/>
        <v>0</v>
      </c>
      <c r="K31" s="529"/>
    </row>
    <row r="32" spans="2:11" ht="13.5" customHeight="1">
      <c r="B32" s="53"/>
      <c r="C32" s="53"/>
      <c r="D32" s="67"/>
      <c r="F32" s="299" t="s">
        <v>88</v>
      </c>
      <c r="G32" s="349">
        <f t="shared" si="3"/>
        <v>0</v>
      </c>
      <c r="H32" s="526">
        <f t="shared" si="4"/>
        <v>0</v>
      </c>
      <c r="I32" s="526"/>
      <c r="J32" s="526">
        <f t="shared" si="2"/>
        <v>0</v>
      </c>
      <c r="K32" s="529"/>
    </row>
    <row r="33" spans="2:11" ht="13.5" customHeight="1">
      <c r="B33" s="53"/>
      <c r="C33" s="53"/>
      <c r="D33" s="67"/>
      <c r="F33" s="299" t="s">
        <v>89</v>
      </c>
      <c r="G33" s="349">
        <f t="shared" si="3"/>
        <v>0</v>
      </c>
      <c r="H33" s="526">
        <f t="shared" si="4"/>
        <v>0</v>
      </c>
      <c r="I33" s="526"/>
      <c r="J33" s="526">
        <f t="shared" si="2"/>
        <v>0</v>
      </c>
      <c r="K33" s="529"/>
    </row>
    <row r="34" spans="2:11" ht="13.5" customHeight="1">
      <c r="B34" s="53"/>
      <c r="C34" s="53"/>
      <c r="D34" s="67"/>
      <c r="F34" s="299" t="s">
        <v>90</v>
      </c>
      <c r="G34" s="349">
        <f t="shared" si="3"/>
        <v>0</v>
      </c>
      <c r="H34" s="526">
        <f t="shared" si="4"/>
        <v>0</v>
      </c>
      <c r="I34" s="526"/>
      <c r="J34" s="526">
        <f t="shared" si="2"/>
        <v>0</v>
      </c>
      <c r="K34" s="529"/>
    </row>
    <row r="35" spans="2:11" ht="13.5" customHeight="1" thickBot="1">
      <c r="B35" s="53"/>
      <c r="C35" s="53"/>
      <c r="D35" s="67"/>
      <c r="F35" s="430" t="s">
        <v>138</v>
      </c>
      <c r="G35" s="432">
        <f t="shared" si="3"/>
        <v>0</v>
      </c>
      <c r="H35" s="600">
        <f t="shared" si="4"/>
        <v>0</v>
      </c>
      <c r="I35" s="600"/>
      <c r="J35" s="600">
        <f t="shared" si="2"/>
        <v>0</v>
      </c>
      <c r="K35" s="601"/>
    </row>
    <row r="36" spans="2:11" ht="13.5" customHeight="1" thickBot="1" thickTop="1">
      <c r="B36" s="53"/>
      <c r="C36" s="53"/>
      <c r="D36" s="47"/>
      <c r="F36" s="428" t="s">
        <v>15</v>
      </c>
      <c r="G36" s="358">
        <f>SUM(G27:G35)</f>
        <v>0</v>
      </c>
      <c r="H36" s="597">
        <f>SUM(H27:H35)</f>
        <v>0</v>
      </c>
      <c r="I36" s="597"/>
      <c r="J36" s="597">
        <f>SUM(J27:J35)</f>
        <v>0</v>
      </c>
      <c r="K36" s="59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268</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130000</v>
      </c>
      <c r="C16" s="323">
        <f>'1-1'!C21</f>
        <v>205000</v>
      </c>
      <c r="D16" s="323">
        <f>'1-1'!D21</f>
        <v>747070</v>
      </c>
      <c r="E16" s="323">
        <f>'1-1'!E21</f>
        <v>0</v>
      </c>
      <c r="F16" s="323">
        <f>'1-1'!F21</f>
        <v>0</v>
      </c>
      <c r="G16" s="323">
        <f>'1-1'!G21</f>
        <v>0</v>
      </c>
      <c r="H16" s="323">
        <f>'1-1'!H21</f>
        <v>0</v>
      </c>
      <c r="I16" s="323">
        <f>'1-1'!I21</f>
        <v>0</v>
      </c>
      <c r="J16" s="437">
        <f>'1-1'!J21</f>
        <v>107930</v>
      </c>
      <c r="K16" s="438">
        <f aca="true" t="shared" si="0" ref="K16:K22">SUM(B16:J16)</f>
        <v>1190000</v>
      </c>
    </row>
    <row r="17" spans="1:11" ht="39" customHeight="1">
      <c r="A17" s="21" t="s">
        <v>16</v>
      </c>
      <c r="B17" s="436">
        <f>'随時②-2'!G38</f>
        <v>0</v>
      </c>
      <c r="C17" s="323">
        <f>'随時②-2'!G39</f>
        <v>0</v>
      </c>
      <c r="D17" s="323">
        <f>'随時②-2'!G40</f>
        <v>0</v>
      </c>
      <c r="E17" s="323">
        <f>'随時②-2'!G41</f>
        <v>0</v>
      </c>
      <c r="F17" s="323">
        <f>'随時②-2'!G42</f>
        <v>0</v>
      </c>
      <c r="G17" s="323">
        <f>'随時②-2'!G43</f>
        <v>0</v>
      </c>
      <c r="H17" s="323">
        <f>'随時②-2'!G44</f>
        <v>0</v>
      </c>
      <c r="I17" s="323">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5">
        <f>SUM(B16:B17)</f>
        <v>130000</v>
      </c>
      <c r="C20" s="225">
        <f aca="true" t="shared" si="2" ref="C20:J20">SUM(C16:C17)</f>
        <v>205000</v>
      </c>
      <c r="D20" s="225">
        <f t="shared" si="2"/>
        <v>747070</v>
      </c>
      <c r="E20" s="225">
        <f t="shared" si="2"/>
        <v>0</v>
      </c>
      <c r="F20" s="225">
        <f t="shared" si="2"/>
        <v>0</v>
      </c>
      <c r="G20" s="225">
        <f t="shared" si="2"/>
        <v>0</v>
      </c>
      <c r="H20" s="225">
        <f t="shared" si="2"/>
        <v>0</v>
      </c>
      <c r="I20" s="225">
        <f t="shared" si="2"/>
        <v>0</v>
      </c>
      <c r="J20" s="225">
        <f t="shared" si="2"/>
        <v>107930</v>
      </c>
      <c r="K20" s="435">
        <f t="shared" si="0"/>
        <v>1190000</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21">
        <f>SUM(B20:B21)</f>
        <v>130000</v>
      </c>
      <c r="C22" s="221">
        <f aca="true" t="shared" si="3" ref="C22:J22">SUM(C20:C21)</f>
        <v>205000</v>
      </c>
      <c r="D22" s="221">
        <f t="shared" si="3"/>
        <v>747070</v>
      </c>
      <c r="E22" s="221">
        <f t="shared" si="3"/>
        <v>0</v>
      </c>
      <c r="F22" s="221">
        <f t="shared" si="3"/>
        <v>0</v>
      </c>
      <c r="G22" s="221">
        <f t="shared" si="3"/>
        <v>0</v>
      </c>
      <c r="H22" s="221">
        <f t="shared" si="3"/>
        <v>0</v>
      </c>
      <c r="I22" s="221">
        <f t="shared" si="3"/>
        <v>0</v>
      </c>
      <c r="J22" s="221">
        <f t="shared" si="3"/>
        <v>107930</v>
      </c>
      <c r="K22" s="224">
        <f t="shared" si="0"/>
        <v>1190000</v>
      </c>
    </row>
    <row r="23" spans="1:11" ht="39" customHeight="1" thickBot="1">
      <c r="A23" s="32" t="s">
        <v>104</v>
      </c>
      <c r="B23" s="613" t="s">
        <v>136</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9" t="s">
        <v>111</v>
      </c>
      <c r="L3" s="410" t="s">
        <v>107</v>
      </c>
    </row>
    <row r="4" spans="1:13" ht="13.5" customHeight="1">
      <c r="A4" s="91"/>
      <c r="B4" s="67"/>
      <c r="C4" s="67"/>
      <c r="D4" s="411"/>
      <c r="E4" s="317">
        <f>IF($D4="","",IF($D4&lt;=100,VLOOKUP($D4,'1-2'!$D$4:$L$103,2),VLOOKUP($D4,'随時①-2'!$D$4:$L$23,2)))</f>
      </c>
      <c r="F4" s="317">
        <f>IF($D4="","",IF($D4&lt;=100,VLOOKUP($D4,'1-2'!$D$4:$L$103,3),VLOOKUP($D4,'随時①-2'!$D$4:$L$23,3)))</f>
      </c>
      <c r="G4" s="226">
        <f>IF($D4="","",IF($D4&lt;=100,VLOOKUP($D4,'1-2'!$D$4:$L$103,4),VLOOKUP($D4,'随時①-2'!$D$4:$L$23,4)))</f>
      </c>
      <c r="H4" s="318">
        <f>IF($D4="","",IF($D4&lt;=100,VLOOKUP($D4,'1-2'!$D$4:$L$103,5),VLOOKUP($D4,'随時①-2'!$D$4:$L$23,5)))</f>
      </c>
      <c r="I4" s="318">
        <f>IF($D4="","",IF($D4&lt;=100,VLOOKUP($D4,'1-2'!$D$4:$L$103,6),VLOOKUP($D4,'随時①-2'!$D$4:$L$23,6)))</f>
      </c>
      <c r="J4" s="226">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7">
        <f>IF($D18="","",IF($D18&lt;=100,VLOOKUP($D18,'1-2'!$D$4:$L$103,2),VLOOKUP($D18,'随時①-2'!$D$4:$L$23,2)))</f>
      </c>
      <c r="F18" s="347">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9" t="s">
        <v>111</v>
      </c>
      <c r="L20" s="410" t="s">
        <v>107</v>
      </c>
    </row>
    <row r="21" spans="1:13" ht="14.25">
      <c r="A21" s="362"/>
      <c r="B21" s="243"/>
      <c r="C21" s="264"/>
      <c r="D21" s="402">
        <v>201</v>
      </c>
      <c r="E21" s="277"/>
      <c r="F21" s="277"/>
      <c r="G21" s="278"/>
      <c r="H21" s="279"/>
      <c r="I21" s="279"/>
      <c r="J21" s="403">
        <f>G21*H21*I21</f>
        <v>0</v>
      </c>
      <c r="K21" s="280"/>
      <c r="L21" s="281"/>
      <c r="M21" s="5">
        <f aca="true" t="shared" si="1" ref="M21:M35">IF(K21="◎",J21,"")</f>
      </c>
    </row>
    <row r="22" spans="1:13" ht="14.25">
      <c r="A22" s="253"/>
      <c r="B22" s="254"/>
      <c r="C22" s="255"/>
      <c r="D22" s="404">
        <v>202</v>
      </c>
      <c r="E22" s="277"/>
      <c r="F22" s="258"/>
      <c r="G22" s="259"/>
      <c r="H22" s="260"/>
      <c r="I22" s="260"/>
      <c r="J22" s="261">
        <f>G22*H22*I22</f>
        <v>0</v>
      </c>
      <c r="K22" s="262"/>
      <c r="L22" s="263"/>
      <c r="M22" s="5">
        <f t="shared" si="1"/>
      </c>
    </row>
    <row r="23" spans="1:13" ht="14.25">
      <c r="A23" s="253"/>
      <c r="B23" s="254"/>
      <c r="C23" s="255"/>
      <c r="D23" s="404">
        <v>203</v>
      </c>
      <c r="E23" s="277"/>
      <c r="F23" s="258"/>
      <c r="G23" s="259"/>
      <c r="H23" s="260"/>
      <c r="I23" s="260"/>
      <c r="J23" s="261">
        <f aca="true" t="shared" si="2" ref="J23:J35">G23*H23*I23</f>
        <v>0</v>
      </c>
      <c r="K23" s="262"/>
      <c r="L23" s="263"/>
      <c r="M23" s="5">
        <f t="shared" si="1"/>
      </c>
    </row>
    <row r="24" spans="1:13" ht="14.25">
      <c r="A24" s="253"/>
      <c r="B24" s="254"/>
      <c r="C24" s="255"/>
      <c r="D24" s="404">
        <v>204</v>
      </c>
      <c r="E24" s="277"/>
      <c r="F24" s="258"/>
      <c r="G24" s="259"/>
      <c r="H24" s="260"/>
      <c r="I24" s="260"/>
      <c r="J24" s="261">
        <f t="shared" si="2"/>
        <v>0</v>
      </c>
      <c r="K24" s="262"/>
      <c r="L24" s="263"/>
      <c r="M24" s="5">
        <f t="shared" si="1"/>
      </c>
    </row>
    <row r="25" spans="1:13" ht="14.25">
      <c r="A25" s="253"/>
      <c r="B25" s="254"/>
      <c r="C25" s="255"/>
      <c r="D25" s="404">
        <v>205</v>
      </c>
      <c r="E25" s="277"/>
      <c r="F25" s="258"/>
      <c r="G25" s="259"/>
      <c r="H25" s="260"/>
      <c r="I25" s="260"/>
      <c r="J25" s="261">
        <f t="shared" si="2"/>
        <v>0</v>
      </c>
      <c r="K25" s="262"/>
      <c r="L25" s="263"/>
      <c r="M25" s="5">
        <f t="shared" si="1"/>
      </c>
    </row>
    <row r="26" spans="1:13" ht="14.25">
      <c r="A26" s="253"/>
      <c r="B26" s="254"/>
      <c r="C26" s="255"/>
      <c r="D26" s="404">
        <v>206</v>
      </c>
      <c r="E26" s="277"/>
      <c r="F26" s="258"/>
      <c r="G26" s="259"/>
      <c r="H26" s="260"/>
      <c r="I26" s="260"/>
      <c r="J26" s="261">
        <f t="shared" si="2"/>
        <v>0</v>
      </c>
      <c r="K26" s="262"/>
      <c r="L26" s="263"/>
      <c r="M26" s="5">
        <f t="shared" si="1"/>
      </c>
    </row>
    <row r="27" spans="1:13" ht="14.25">
      <c r="A27" s="253"/>
      <c r="B27" s="254"/>
      <c r="C27" s="255"/>
      <c r="D27" s="404">
        <v>207</v>
      </c>
      <c r="E27" s="277"/>
      <c r="F27" s="258"/>
      <c r="G27" s="259"/>
      <c r="H27" s="260"/>
      <c r="I27" s="260"/>
      <c r="J27" s="261">
        <f t="shared" si="2"/>
        <v>0</v>
      </c>
      <c r="K27" s="262"/>
      <c r="L27" s="263"/>
      <c r="M27" s="5">
        <f t="shared" si="1"/>
      </c>
    </row>
    <row r="28" spans="1:13" ht="14.25">
      <c r="A28" s="253"/>
      <c r="B28" s="254"/>
      <c r="C28" s="255"/>
      <c r="D28" s="404">
        <v>208</v>
      </c>
      <c r="E28" s="277"/>
      <c r="F28" s="258"/>
      <c r="G28" s="259"/>
      <c r="H28" s="260"/>
      <c r="I28" s="260"/>
      <c r="J28" s="261">
        <f t="shared" si="2"/>
        <v>0</v>
      </c>
      <c r="K28" s="262"/>
      <c r="L28" s="263"/>
      <c r="M28" s="5">
        <f t="shared" si="1"/>
      </c>
    </row>
    <row r="29" spans="1:13" ht="14.25">
      <c r="A29" s="253"/>
      <c r="B29" s="254"/>
      <c r="C29" s="255"/>
      <c r="D29" s="404">
        <v>209</v>
      </c>
      <c r="E29" s="277"/>
      <c r="F29" s="258"/>
      <c r="G29" s="259"/>
      <c r="H29" s="260"/>
      <c r="I29" s="260"/>
      <c r="J29" s="261">
        <f t="shared" si="2"/>
        <v>0</v>
      </c>
      <c r="K29" s="262"/>
      <c r="L29" s="263"/>
      <c r="M29" s="5">
        <f t="shared" si="1"/>
      </c>
    </row>
    <row r="30" spans="1:13" ht="13.5">
      <c r="A30" s="253"/>
      <c r="B30" s="254"/>
      <c r="C30" s="255"/>
      <c r="D30" s="404">
        <v>210</v>
      </c>
      <c r="E30" s="277"/>
      <c r="F30" s="258"/>
      <c r="G30" s="259"/>
      <c r="H30" s="260"/>
      <c r="I30" s="260"/>
      <c r="J30" s="261">
        <f t="shared" si="2"/>
        <v>0</v>
      </c>
      <c r="K30" s="262"/>
      <c r="L30" s="263"/>
      <c r="M30" s="5">
        <f t="shared" si="1"/>
      </c>
    </row>
    <row r="31" spans="1:13" ht="13.5">
      <c r="A31" s="253"/>
      <c r="B31" s="254"/>
      <c r="C31" s="255"/>
      <c r="D31" s="404">
        <v>211</v>
      </c>
      <c r="E31" s="277"/>
      <c r="F31" s="258"/>
      <c r="G31" s="259"/>
      <c r="H31" s="260"/>
      <c r="I31" s="260"/>
      <c r="J31" s="261">
        <f t="shared" si="2"/>
        <v>0</v>
      </c>
      <c r="K31" s="262"/>
      <c r="L31" s="263"/>
      <c r="M31" s="5">
        <f t="shared" si="1"/>
      </c>
    </row>
    <row r="32" spans="1:13" ht="13.5">
      <c r="A32" s="253"/>
      <c r="B32" s="254"/>
      <c r="C32" s="255"/>
      <c r="D32" s="404">
        <v>212</v>
      </c>
      <c r="E32" s="277"/>
      <c r="F32" s="258"/>
      <c r="G32" s="259"/>
      <c r="H32" s="260"/>
      <c r="I32" s="260"/>
      <c r="J32" s="261">
        <f t="shared" si="2"/>
        <v>0</v>
      </c>
      <c r="K32" s="262"/>
      <c r="L32" s="263"/>
      <c r="M32" s="5">
        <f t="shared" si="1"/>
      </c>
    </row>
    <row r="33" spans="1:13" ht="13.5">
      <c r="A33" s="253"/>
      <c r="B33" s="254"/>
      <c r="C33" s="255"/>
      <c r="D33" s="404">
        <v>213</v>
      </c>
      <c r="E33" s="277"/>
      <c r="F33" s="258"/>
      <c r="G33" s="259"/>
      <c r="H33" s="260"/>
      <c r="I33" s="260"/>
      <c r="J33" s="261">
        <f t="shared" si="2"/>
        <v>0</v>
      </c>
      <c r="K33" s="262"/>
      <c r="L33" s="263"/>
      <c r="M33" s="5">
        <f t="shared" si="1"/>
      </c>
    </row>
    <row r="34" spans="1:13" ht="13.5">
      <c r="A34" s="253"/>
      <c r="B34" s="254"/>
      <c r="C34" s="255"/>
      <c r="D34" s="404">
        <v>214</v>
      </c>
      <c r="E34" s="277"/>
      <c r="F34" s="258"/>
      <c r="G34" s="259"/>
      <c r="H34" s="260"/>
      <c r="I34" s="260"/>
      <c r="J34" s="261">
        <f t="shared" si="2"/>
        <v>0</v>
      </c>
      <c r="K34" s="262"/>
      <c r="L34" s="263"/>
      <c r="M34" s="5">
        <f t="shared" si="1"/>
      </c>
    </row>
    <row r="35" spans="1:13" ht="14.25" thickBot="1">
      <c r="A35" s="397"/>
      <c r="B35" s="405"/>
      <c r="C35" s="406"/>
      <c r="D35" s="407">
        <v>215</v>
      </c>
      <c r="E35" s="290"/>
      <c r="F35" s="290"/>
      <c r="G35" s="291"/>
      <c r="H35" s="292"/>
      <c r="I35" s="292"/>
      <c r="J35" s="293">
        <f t="shared" si="2"/>
        <v>0</v>
      </c>
      <c r="K35" s="408"/>
      <c r="L35" s="295"/>
      <c r="M35" s="5">
        <f t="shared" si="1"/>
      </c>
    </row>
    <row r="36" spans="1:7" ht="24" customHeight="1" thickBot="1">
      <c r="A36" s="53"/>
      <c r="B36" s="53"/>
      <c r="C36" s="53"/>
      <c r="D36" s="53"/>
      <c r="E36" s="28" t="s">
        <v>248</v>
      </c>
      <c r="F36" s="619"/>
      <c r="G36" s="619"/>
    </row>
    <row r="37" spans="1:12" ht="24" customHeight="1" thickBot="1">
      <c r="A37" s="53"/>
      <c r="B37" s="53"/>
      <c r="C37" s="53"/>
      <c r="D37" s="53"/>
      <c r="E37" s="241" t="s">
        <v>96</v>
      </c>
      <c r="F37" s="231" t="s">
        <v>109</v>
      </c>
      <c r="G37" s="158" t="s">
        <v>16</v>
      </c>
      <c r="H37" s="620" t="s">
        <v>245</v>
      </c>
      <c r="I37" s="621"/>
      <c r="J37" s="231" t="s">
        <v>108</v>
      </c>
      <c r="K37" s="539" t="s">
        <v>193</v>
      </c>
      <c r="L37" s="586"/>
    </row>
    <row r="38" spans="1:12" ht="14.25" thickTop="1">
      <c r="A38" s="53"/>
      <c r="B38" s="53"/>
      <c r="C38" s="53"/>
      <c r="D38" s="53"/>
      <c r="E38" s="298" t="s">
        <v>85</v>
      </c>
      <c r="F38" s="349">
        <f>'1-1'!B21</f>
        <v>130000</v>
      </c>
      <c r="G38" s="351">
        <f aca="true" t="shared" si="3" ref="G38:G46">-SUMIF($E$4:$E$18,$E38,$J$4:$J$18)+SUMIF($E$21:$E$35,$E38,$J$21:$J$35)</f>
        <v>0</v>
      </c>
      <c r="H38" s="548">
        <f aca="true" t="shared" si="4" ref="H38:H46">-SUMIF($E$4:$E$18,$E38,$M$4:$M$18)+SUMIF($E$21:$E$35,$E38,$M$21:$M$35)</f>
        <v>0</v>
      </c>
      <c r="I38" s="548"/>
      <c r="J38" s="350">
        <f aca="true" t="shared" si="5" ref="J38:J46">G38-H38</f>
        <v>0</v>
      </c>
      <c r="K38" s="548">
        <f aca="true" t="shared" si="6" ref="K38:K46">F38+G38</f>
        <v>130000</v>
      </c>
      <c r="L38" s="611"/>
    </row>
    <row r="39" spans="1:12" ht="13.5">
      <c r="A39" s="53"/>
      <c r="B39" s="53"/>
      <c r="C39" s="53"/>
      <c r="D39" s="53"/>
      <c r="E39" s="299" t="s">
        <v>86</v>
      </c>
      <c r="F39" s="353">
        <f>'1-1'!C21</f>
        <v>205000</v>
      </c>
      <c r="G39" s="351">
        <f t="shared" si="3"/>
        <v>0</v>
      </c>
      <c r="H39" s="526">
        <f t="shared" si="4"/>
        <v>0</v>
      </c>
      <c r="I39" s="526"/>
      <c r="J39" s="353">
        <f t="shared" si="5"/>
        <v>0</v>
      </c>
      <c r="K39" s="526">
        <f t="shared" si="6"/>
        <v>205000</v>
      </c>
      <c r="L39" s="529"/>
    </row>
    <row r="40" spans="1:12" ht="13.5">
      <c r="A40" s="53"/>
      <c r="B40" s="53"/>
      <c r="C40" s="53"/>
      <c r="D40" s="53"/>
      <c r="E40" s="299" t="s">
        <v>125</v>
      </c>
      <c r="F40" s="353">
        <f>'1-1'!D21</f>
        <v>747070</v>
      </c>
      <c r="G40" s="351">
        <f t="shared" si="3"/>
        <v>0</v>
      </c>
      <c r="H40" s="526">
        <f t="shared" si="4"/>
        <v>0</v>
      </c>
      <c r="I40" s="526"/>
      <c r="J40" s="353">
        <f t="shared" si="5"/>
        <v>0</v>
      </c>
      <c r="K40" s="526">
        <f t="shared" si="6"/>
        <v>747070</v>
      </c>
      <c r="L40" s="529"/>
    </row>
    <row r="41" spans="1:12" ht="13.5">
      <c r="A41" s="53"/>
      <c r="B41" s="53"/>
      <c r="C41" s="53"/>
      <c r="D41" s="53"/>
      <c r="E41" s="299" t="s">
        <v>126</v>
      </c>
      <c r="F41" s="353">
        <f>'1-1'!E21</f>
        <v>0</v>
      </c>
      <c r="G41" s="351">
        <f t="shared" si="3"/>
        <v>0</v>
      </c>
      <c r="H41" s="526">
        <f t="shared" si="4"/>
        <v>0</v>
      </c>
      <c r="I41" s="526"/>
      <c r="J41" s="353">
        <f t="shared" si="5"/>
        <v>0</v>
      </c>
      <c r="K41" s="526">
        <f t="shared" si="6"/>
        <v>0</v>
      </c>
      <c r="L41" s="529"/>
    </row>
    <row r="42" spans="1:12" ht="13.5">
      <c r="A42" s="53"/>
      <c r="B42" s="53"/>
      <c r="C42" s="53"/>
      <c r="D42" s="53"/>
      <c r="E42" s="299" t="s">
        <v>87</v>
      </c>
      <c r="F42" s="353">
        <f>'1-1'!F21</f>
        <v>0</v>
      </c>
      <c r="G42" s="351">
        <f t="shared" si="3"/>
        <v>0</v>
      </c>
      <c r="H42" s="526">
        <f t="shared" si="4"/>
        <v>0</v>
      </c>
      <c r="I42" s="526"/>
      <c r="J42" s="353">
        <f t="shared" si="5"/>
        <v>0</v>
      </c>
      <c r="K42" s="526">
        <f t="shared" si="6"/>
        <v>0</v>
      </c>
      <c r="L42" s="529"/>
    </row>
    <row r="43" spans="1:12" ht="13.5">
      <c r="A43" s="53"/>
      <c r="B43" s="53"/>
      <c r="C43" s="53"/>
      <c r="D43" s="53"/>
      <c r="E43" s="299" t="s">
        <v>88</v>
      </c>
      <c r="F43" s="353">
        <f>'1-1'!G21</f>
        <v>0</v>
      </c>
      <c r="G43" s="351">
        <f t="shared" si="3"/>
        <v>0</v>
      </c>
      <c r="H43" s="526">
        <f t="shared" si="4"/>
        <v>0</v>
      </c>
      <c r="I43" s="526"/>
      <c r="J43" s="353">
        <f t="shared" si="5"/>
        <v>0</v>
      </c>
      <c r="K43" s="526">
        <f t="shared" si="6"/>
        <v>0</v>
      </c>
      <c r="L43" s="529"/>
    </row>
    <row r="44" spans="1:12" ht="13.5">
      <c r="A44" s="53"/>
      <c r="B44" s="53"/>
      <c r="C44" s="53"/>
      <c r="D44" s="53"/>
      <c r="E44" s="299" t="s">
        <v>89</v>
      </c>
      <c r="F44" s="353">
        <f>'1-1'!H21</f>
        <v>0</v>
      </c>
      <c r="G44" s="351">
        <f t="shared" si="3"/>
        <v>0</v>
      </c>
      <c r="H44" s="526">
        <f t="shared" si="4"/>
        <v>0</v>
      </c>
      <c r="I44" s="526"/>
      <c r="J44" s="353">
        <f t="shared" si="5"/>
        <v>0</v>
      </c>
      <c r="K44" s="526">
        <f t="shared" si="6"/>
        <v>0</v>
      </c>
      <c r="L44" s="529"/>
    </row>
    <row r="45" spans="1:12" ht="13.5">
      <c r="A45" s="53"/>
      <c r="B45" s="53"/>
      <c r="C45" s="53"/>
      <c r="D45" s="53"/>
      <c r="E45" s="299" t="s">
        <v>90</v>
      </c>
      <c r="F45" s="353">
        <f>'1-1'!I21</f>
        <v>0</v>
      </c>
      <c r="G45" s="351">
        <f t="shared" si="3"/>
        <v>0</v>
      </c>
      <c r="H45" s="526">
        <f t="shared" si="4"/>
        <v>0</v>
      </c>
      <c r="I45" s="526"/>
      <c r="J45" s="353">
        <f t="shared" si="5"/>
        <v>0</v>
      </c>
      <c r="K45" s="526">
        <f t="shared" si="6"/>
        <v>0</v>
      </c>
      <c r="L45" s="529"/>
    </row>
    <row r="46" spans="1:12" ht="14.25" thickBot="1">
      <c r="A46" s="53"/>
      <c r="B46" s="53"/>
      <c r="C46" s="53"/>
      <c r="D46" s="53"/>
      <c r="E46" s="299" t="s">
        <v>138</v>
      </c>
      <c r="F46" s="400">
        <f>'1-1'!J21</f>
        <v>107930</v>
      </c>
      <c r="G46" s="351">
        <f t="shared" si="3"/>
        <v>0</v>
      </c>
      <c r="H46" s="600">
        <f t="shared" si="4"/>
        <v>0</v>
      </c>
      <c r="I46" s="600"/>
      <c r="J46" s="354">
        <f t="shared" si="5"/>
        <v>0</v>
      </c>
      <c r="K46" s="600">
        <f t="shared" si="6"/>
        <v>107930</v>
      </c>
      <c r="L46" s="601"/>
    </row>
    <row r="47" spans="1:12" ht="15" thickBot="1" thickTop="1">
      <c r="A47" s="53"/>
      <c r="B47" s="53"/>
      <c r="C47" s="53"/>
      <c r="D47" s="53"/>
      <c r="E47" s="401" t="s">
        <v>15</v>
      </c>
      <c r="F47" s="356">
        <f>SUM(F38:F46)</f>
        <v>1190000</v>
      </c>
      <c r="G47" s="357">
        <f>SUM(G38:G46)</f>
        <v>0</v>
      </c>
      <c r="H47" s="616">
        <f>SUM(H38:I46)</f>
        <v>0</v>
      </c>
      <c r="I47" s="618"/>
      <c r="J47" s="358">
        <f>SUM(J38:J46)</f>
        <v>0</v>
      </c>
      <c r="K47" s="616">
        <f>SUM(K38:L46)</f>
        <v>1190000</v>
      </c>
      <c r="L47" s="61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1" t="s">
        <v>14</v>
      </c>
      <c r="I1" s="501"/>
      <c r="J1" s="501"/>
      <c r="K1" s="501"/>
    </row>
    <row r="2" spans="8:11" s="1" customFormat="1" ht="18" customHeight="1">
      <c r="H2" s="501" t="s">
        <v>7</v>
      </c>
      <c r="I2" s="501"/>
      <c r="J2" s="501"/>
      <c r="K2" s="501"/>
    </row>
    <row r="3" s="1" customFormat="1" ht="18" customHeight="1">
      <c r="K3" s="2"/>
    </row>
    <row r="4" spans="8:11" s="1" customFormat="1" ht="18" customHeight="1">
      <c r="H4" s="502" t="s">
        <v>6</v>
      </c>
      <c r="I4" s="502"/>
      <c r="J4" s="502"/>
      <c r="K4" s="502"/>
    </row>
    <row r="5" spans="8:11" s="1" customFormat="1" ht="18" customHeight="1">
      <c r="H5" s="502" t="s">
        <v>145</v>
      </c>
      <c r="I5" s="502"/>
      <c r="J5" s="502"/>
      <c r="K5" s="502"/>
    </row>
    <row r="6" spans="1:11" s="1" customFormat="1" ht="18" customHeight="1">
      <c r="A6" s="3" t="s">
        <v>2</v>
      </c>
      <c r="H6" s="4"/>
      <c r="K6" s="11"/>
    </row>
    <row r="7" spans="1:11" s="1" customFormat="1" ht="18" customHeight="1">
      <c r="A7" s="4"/>
      <c r="H7" s="502" t="s">
        <v>3</v>
      </c>
      <c r="I7" s="502"/>
      <c r="J7" s="502"/>
      <c r="K7" s="502"/>
    </row>
    <row r="8" spans="1:11" s="1" customFormat="1" ht="18" customHeight="1">
      <c r="A8" s="4"/>
      <c r="H8" s="502" t="s">
        <v>4</v>
      </c>
      <c r="I8" s="502"/>
      <c r="J8" s="502"/>
      <c r="K8" s="502"/>
    </row>
    <row r="9" spans="1:11" s="1" customFormat="1" ht="42" customHeight="1">
      <c r="A9" s="4"/>
      <c r="H9" s="2"/>
      <c r="K9" s="46"/>
    </row>
    <row r="10" spans="1:11" ht="24" customHeight="1">
      <c r="A10" s="490" t="s">
        <v>270</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2" t="s">
        <v>84</v>
      </c>
      <c r="B14" s="493"/>
      <c r="C14" s="494"/>
      <c r="D14" s="495">
        <f>'1-1'!D14:F14</f>
        <v>1190000</v>
      </c>
      <c r="E14" s="496"/>
      <c r="F14" s="497"/>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105000</v>
      </c>
      <c r="C16" s="436">
        <f>'2-1'!C23</f>
        <v>103120</v>
      </c>
      <c r="D16" s="436">
        <f>'2-1'!D23</f>
        <v>762290</v>
      </c>
      <c r="E16" s="436">
        <f>'2-1'!E23</f>
        <v>0</v>
      </c>
      <c r="F16" s="436">
        <f>'2-1'!F23</f>
        <v>0</v>
      </c>
      <c r="G16" s="436">
        <f>'2-1'!G23</f>
        <v>0</v>
      </c>
      <c r="H16" s="436">
        <f>'2-1'!H23</f>
        <v>0</v>
      </c>
      <c r="I16" s="436">
        <f>'2-1'!I23</f>
        <v>0</v>
      </c>
      <c r="J16" s="436">
        <f>'2-1'!J23</f>
        <v>19000</v>
      </c>
      <c r="K16" s="438">
        <f aca="true" t="shared" si="0" ref="K16:K23">SUM(B16:J16)</f>
        <v>989410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105000</v>
      </c>
      <c r="C18" s="439">
        <f aca="true" t="shared" si="1" ref="C18:J18">C16-C17</f>
        <v>103120</v>
      </c>
      <c r="D18" s="439">
        <f t="shared" si="1"/>
        <v>762290</v>
      </c>
      <c r="E18" s="439">
        <f t="shared" si="1"/>
        <v>0</v>
      </c>
      <c r="F18" s="439">
        <f t="shared" si="1"/>
        <v>0</v>
      </c>
      <c r="G18" s="439">
        <f t="shared" si="1"/>
        <v>0</v>
      </c>
      <c r="H18" s="439">
        <f t="shared" si="1"/>
        <v>0</v>
      </c>
      <c r="I18" s="439">
        <f t="shared" si="1"/>
        <v>0</v>
      </c>
      <c r="J18" s="439">
        <f t="shared" si="1"/>
        <v>19000</v>
      </c>
      <c r="K18" s="442">
        <f t="shared" si="0"/>
        <v>989410</v>
      </c>
    </row>
    <row r="19" spans="1:11" ht="39" customHeight="1">
      <c r="A19" s="21" t="s">
        <v>16</v>
      </c>
      <c r="B19" s="436">
        <f>'随時③-2'!G38</f>
        <v>0</v>
      </c>
      <c r="C19" s="323">
        <f>'随時③-2'!G39</f>
        <v>0</v>
      </c>
      <c r="D19" s="323">
        <f>'随時③-2'!G40</f>
        <v>0</v>
      </c>
      <c r="E19" s="323">
        <f>'随時③-2'!G41</f>
        <v>0</v>
      </c>
      <c r="F19" s="323">
        <f>'随時③-2'!G42</f>
        <v>0</v>
      </c>
      <c r="G19" s="323">
        <f>'随時③-2'!G43</f>
        <v>0</v>
      </c>
      <c r="H19" s="323">
        <f>'随時③-2'!G44</f>
        <v>0</v>
      </c>
      <c r="I19" s="323">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5">
        <f>B16+B19</f>
        <v>105000</v>
      </c>
      <c r="C22" s="225">
        <f aca="true" t="shared" si="3" ref="C22:J22">C16+C19</f>
        <v>103120</v>
      </c>
      <c r="D22" s="225">
        <f t="shared" si="3"/>
        <v>762290</v>
      </c>
      <c r="E22" s="225">
        <f t="shared" si="3"/>
        <v>0</v>
      </c>
      <c r="F22" s="225">
        <f t="shared" si="3"/>
        <v>0</v>
      </c>
      <c r="G22" s="225">
        <f t="shared" si="3"/>
        <v>0</v>
      </c>
      <c r="H22" s="225">
        <f t="shared" si="3"/>
        <v>0</v>
      </c>
      <c r="I22" s="225">
        <f t="shared" si="3"/>
        <v>0</v>
      </c>
      <c r="J22" s="225">
        <f t="shared" si="3"/>
        <v>19000</v>
      </c>
      <c r="K22" s="435">
        <f t="shared" si="0"/>
        <v>989410</v>
      </c>
    </row>
    <row r="23" spans="1:11" ht="39" customHeight="1" thickBot="1">
      <c r="A23" s="22" t="s">
        <v>170</v>
      </c>
      <c r="B23" s="221">
        <f>'2-1'!B19+'随時③-1'!B22</f>
        <v>220000</v>
      </c>
      <c r="C23" s="221">
        <f>'2-1'!C19+'随時③-1'!C22</f>
        <v>293070</v>
      </c>
      <c r="D23" s="221">
        <f>'2-1'!D19+'随時③-1'!D22</f>
        <v>1509360</v>
      </c>
      <c r="E23" s="221">
        <f>'2-1'!E19+'随時③-1'!E22</f>
        <v>0</v>
      </c>
      <c r="F23" s="221">
        <f>'2-1'!F19+'随時③-1'!F22</f>
        <v>0</v>
      </c>
      <c r="G23" s="221">
        <f>'2-1'!G19+'随時③-1'!G22</f>
        <v>0</v>
      </c>
      <c r="H23" s="221">
        <f>'2-1'!H19+'随時③-1'!H22</f>
        <v>0</v>
      </c>
      <c r="I23" s="221">
        <f>'2-1'!I19+'随時③-1'!I22</f>
        <v>0</v>
      </c>
      <c r="J23" s="221">
        <f>'2-1'!J19+'随時③-1'!J22</f>
        <v>113930</v>
      </c>
      <c r="K23" s="224">
        <f t="shared" si="0"/>
        <v>2136360</v>
      </c>
    </row>
    <row r="24" spans="1:11" ht="39" customHeight="1" thickBot="1">
      <c r="A24" s="32" t="s">
        <v>104</v>
      </c>
      <c r="B24" s="622"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9" t="s">
        <v>111</v>
      </c>
      <c r="L3" s="297" t="s">
        <v>107</v>
      </c>
    </row>
    <row r="4" spans="1:13" ht="14.25">
      <c r="A4" s="91"/>
      <c r="B4" s="67"/>
      <c r="C4" s="67"/>
      <c r="D4" s="411"/>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7">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9" t="s">
        <v>111</v>
      </c>
      <c r="L20" s="410" t="s">
        <v>107</v>
      </c>
    </row>
    <row r="21" spans="1:13" s="468" customFormat="1" ht="13.5" customHeight="1">
      <c r="A21" s="362"/>
      <c r="B21" s="243"/>
      <c r="C21" s="264"/>
      <c r="D21" s="467">
        <v>401</v>
      </c>
      <c r="E21" s="277"/>
      <c r="F21" s="277"/>
      <c r="G21" s="342"/>
      <c r="H21" s="343"/>
      <c r="I21" s="343"/>
      <c r="J21" s="383">
        <f>G21*H21*I21</f>
        <v>0</v>
      </c>
      <c r="K21" s="280"/>
      <c r="L21" s="281"/>
      <c r="M21" s="468">
        <f aca="true" t="shared" si="1" ref="M21:M35">IF(K21="◎",J21,"")</f>
      </c>
    </row>
    <row r="22" spans="1:13" s="468" customFormat="1" ht="13.5" customHeight="1">
      <c r="A22" s="253"/>
      <c r="B22" s="254"/>
      <c r="C22" s="255"/>
      <c r="D22" s="469">
        <v>402</v>
      </c>
      <c r="E22" s="277"/>
      <c r="F22" s="258"/>
      <c r="G22" s="321"/>
      <c r="H22" s="322"/>
      <c r="I22" s="322"/>
      <c r="J22" s="383">
        <f aca="true" t="shared" si="2" ref="J22:J35">G22*H22*I22</f>
        <v>0</v>
      </c>
      <c r="K22" s="262"/>
      <c r="L22" s="263"/>
      <c r="M22" s="468">
        <f t="shared" si="1"/>
      </c>
    </row>
    <row r="23" spans="1:13" s="468" customFormat="1" ht="13.5" customHeight="1">
      <c r="A23" s="253"/>
      <c r="B23" s="254"/>
      <c r="C23" s="255"/>
      <c r="D23" s="469">
        <v>403</v>
      </c>
      <c r="E23" s="277"/>
      <c r="F23" s="258"/>
      <c r="G23" s="321"/>
      <c r="H23" s="322"/>
      <c r="I23" s="322"/>
      <c r="J23" s="383">
        <f t="shared" si="2"/>
        <v>0</v>
      </c>
      <c r="K23" s="262"/>
      <c r="L23" s="263"/>
      <c r="M23" s="468">
        <f t="shared" si="1"/>
      </c>
    </row>
    <row r="24" spans="1:13" s="468" customFormat="1" ht="13.5" customHeight="1">
      <c r="A24" s="253"/>
      <c r="B24" s="254"/>
      <c r="C24" s="255"/>
      <c r="D24" s="469">
        <v>404</v>
      </c>
      <c r="E24" s="277"/>
      <c r="F24" s="258"/>
      <c r="G24" s="321"/>
      <c r="H24" s="322"/>
      <c r="I24" s="322"/>
      <c r="J24" s="383">
        <f t="shared" si="2"/>
        <v>0</v>
      </c>
      <c r="K24" s="262"/>
      <c r="L24" s="263"/>
      <c r="M24" s="468">
        <f t="shared" si="1"/>
      </c>
    </row>
    <row r="25" spans="1:13" s="468" customFormat="1" ht="13.5" customHeight="1">
      <c r="A25" s="253"/>
      <c r="B25" s="254"/>
      <c r="C25" s="255"/>
      <c r="D25" s="469">
        <v>405</v>
      </c>
      <c r="E25" s="277"/>
      <c r="F25" s="258"/>
      <c r="G25" s="321"/>
      <c r="H25" s="322"/>
      <c r="I25" s="322"/>
      <c r="J25" s="383">
        <f t="shared" si="2"/>
        <v>0</v>
      </c>
      <c r="K25" s="262"/>
      <c r="L25" s="263"/>
      <c r="M25" s="468">
        <f t="shared" si="1"/>
      </c>
    </row>
    <row r="26" spans="1:13" s="468" customFormat="1" ht="13.5" customHeight="1">
      <c r="A26" s="253"/>
      <c r="B26" s="254"/>
      <c r="C26" s="255"/>
      <c r="D26" s="469">
        <v>406</v>
      </c>
      <c r="E26" s="277"/>
      <c r="F26" s="258"/>
      <c r="G26" s="321"/>
      <c r="H26" s="322"/>
      <c r="I26" s="322"/>
      <c r="J26" s="383">
        <f t="shared" si="2"/>
        <v>0</v>
      </c>
      <c r="K26" s="262"/>
      <c r="L26" s="263"/>
      <c r="M26" s="468">
        <f t="shared" si="1"/>
      </c>
    </row>
    <row r="27" spans="1:13" s="468" customFormat="1" ht="13.5" customHeight="1">
      <c r="A27" s="253"/>
      <c r="B27" s="254"/>
      <c r="C27" s="255"/>
      <c r="D27" s="469">
        <v>407</v>
      </c>
      <c r="E27" s="277"/>
      <c r="F27" s="258"/>
      <c r="G27" s="321"/>
      <c r="H27" s="322"/>
      <c r="I27" s="322"/>
      <c r="J27" s="383">
        <f t="shared" si="2"/>
        <v>0</v>
      </c>
      <c r="K27" s="262"/>
      <c r="L27" s="263"/>
      <c r="M27" s="468">
        <f t="shared" si="1"/>
      </c>
    </row>
    <row r="28" spans="1:13" s="468" customFormat="1" ht="13.5" customHeight="1">
      <c r="A28" s="253"/>
      <c r="B28" s="254"/>
      <c r="C28" s="255"/>
      <c r="D28" s="469">
        <v>408</v>
      </c>
      <c r="E28" s="277"/>
      <c r="F28" s="258"/>
      <c r="G28" s="321"/>
      <c r="H28" s="322"/>
      <c r="I28" s="322"/>
      <c r="J28" s="383">
        <f t="shared" si="2"/>
        <v>0</v>
      </c>
      <c r="K28" s="262"/>
      <c r="L28" s="263"/>
      <c r="M28" s="468">
        <f t="shared" si="1"/>
      </c>
    </row>
    <row r="29" spans="1:13" s="468" customFormat="1" ht="13.5" customHeight="1">
      <c r="A29" s="253"/>
      <c r="B29" s="254"/>
      <c r="C29" s="255"/>
      <c r="D29" s="469">
        <v>409</v>
      </c>
      <c r="E29" s="277"/>
      <c r="F29" s="277"/>
      <c r="G29" s="321"/>
      <c r="H29" s="322"/>
      <c r="I29" s="322"/>
      <c r="J29" s="383">
        <f t="shared" si="2"/>
        <v>0</v>
      </c>
      <c r="K29" s="262"/>
      <c r="L29" s="263"/>
      <c r="M29" s="468">
        <f t="shared" si="1"/>
      </c>
    </row>
    <row r="30" spans="1:13" s="468" customFormat="1" ht="13.5" customHeight="1">
      <c r="A30" s="253"/>
      <c r="B30" s="254"/>
      <c r="C30" s="255"/>
      <c r="D30" s="469">
        <v>410</v>
      </c>
      <c r="E30" s="277"/>
      <c r="F30" s="258"/>
      <c r="G30" s="321"/>
      <c r="H30" s="322"/>
      <c r="I30" s="322"/>
      <c r="J30" s="383">
        <f t="shared" si="2"/>
        <v>0</v>
      </c>
      <c r="K30" s="262"/>
      <c r="L30" s="263"/>
      <c r="M30" s="468">
        <f t="shared" si="1"/>
      </c>
    </row>
    <row r="31" spans="1:13" s="468" customFormat="1" ht="13.5" customHeight="1">
      <c r="A31" s="253"/>
      <c r="B31" s="254"/>
      <c r="C31" s="255"/>
      <c r="D31" s="469">
        <v>411</v>
      </c>
      <c r="E31" s="277"/>
      <c r="F31" s="258"/>
      <c r="G31" s="321"/>
      <c r="H31" s="322"/>
      <c r="I31" s="322"/>
      <c r="J31" s="383">
        <f t="shared" si="2"/>
        <v>0</v>
      </c>
      <c r="K31" s="262"/>
      <c r="L31" s="263"/>
      <c r="M31" s="468">
        <f t="shared" si="1"/>
      </c>
    </row>
    <row r="32" spans="1:13" s="468" customFormat="1" ht="13.5" customHeight="1">
      <c r="A32" s="253"/>
      <c r="B32" s="254"/>
      <c r="C32" s="255"/>
      <c r="D32" s="469">
        <v>412</v>
      </c>
      <c r="E32" s="277"/>
      <c r="F32" s="258"/>
      <c r="G32" s="321"/>
      <c r="H32" s="322"/>
      <c r="I32" s="322"/>
      <c r="J32" s="383">
        <f t="shared" si="2"/>
        <v>0</v>
      </c>
      <c r="K32" s="262"/>
      <c r="L32" s="263"/>
      <c r="M32" s="468">
        <f t="shared" si="1"/>
      </c>
    </row>
    <row r="33" spans="1:13" s="468" customFormat="1" ht="13.5" customHeight="1">
      <c r="A33" s="253"/>
      <c r="B33" s="254"/>
      <c r="C33" s="255"/>
      <c r="D33" s="469">
        <v>413</v>
      </c>
      <c r="E33" s="277"/>
      <c r="F33" s="258"/>
      <c r="G33" s="321"/>
      <c r="H33" s="322"/>
      <c r="I33" s="322"/>
      <c r="J33" s="383">
        <f t="shared" si="2"/>
        <v>0</v>
      </c>
      <c r="K33" s="262"/>
      <c r="L33" s="263"/>
      <c r="M33" s="468">
        <f t="shared" si="1"/>
      </c>
    </row>
    <row r="34" spans="1:13" s="468" customFormat="1" ht="13.5" customHeight="1">
      <c r="A34" s="253"/>
      <c r="B34" s="254"/>
      <c r="C34" s="255"/>
      <c r="D34" s="469">
        <v>414</v>
      </c>
      <c r="E34" s="277"/>
      <c r="F34" s="258"/>
      <c r="G34" s="321"/>
      <c r="H34" s="322"/>
      <c r="I34" s="322"/>
      <c r="J34" s="383">
        <f t="shared" si="2"/>
        <v>0</v>
      </c>
      <c r="K34" s="262"/>
      <c r="L34" s="263"/>
      <c r="M34" s="468">
        <f t="shared" si="1"/>
      </c>
    </row>
    <row r="35" spans="1:13" s="468" customFormat="1" ht="13.5" customHeight="1" thickBot="1">
      <c r="A35" s="397"/>
      <c r="B35" s="405"/>
      <c r="C35" s="406"/>
      <c r="D35" s="470">
        <v>415</v>
      </c>
      <c r="E35" s="290"/>
      <c r="F35" s="290"/>
      <c r="G35" s="471"/>
      <c r="H35" s="472"/>
      <c r="I35" s="472"/>
      <c r="J35" s="464">
        <f t="shared" si="2"/>
        <v>0</v>
      </c>
      <c r="K35" s="473"/>
      <c r="L35" s="474"/>
      <c r="M35" s="468">
        <f t="shared" si="1"/>
      </c>
    </row>
    <row r="36" spans="1:7" ht="24" customHeight="1" thickBot="1">
      <c r="A36" s="53"/>
      <c r="B36" s="53"/>
      <c r="C36" s="53"/>
      <c r="E36" s="433" t="s">
        <v>247</v>
      </c>
      <c r="F36" s="619"/>
      <c r="G36" s="619"/>
    </row>
    <row r="37" spans="1:12" ht="24" customHeight="1" thickBot="1">
      <c r="A37" s="53"/>
      <c r="B37" s="53"/>
      <c r="C37" s="53"/>
      <c r="E37" s="241" t="s">
        <v>96</v>
      </c>
      <c r="F37" s="231" t="s">
        <v>172</v>
      </c>
      <c r="G37" s="231" t="s">
        <v>16</v>
      </c>
      <c r="H37" s="620" t="s">
        <v>245</v>
      </c>
      <c r="I37" s="621"/>
      <c r="J37" s="158" t="s">
        <v>108</v>
      </c>
      <c r="K37" s="602" t="s">
        <v>194</v>
      </c>
      <c r="L37" s="603"/>
    </row>
    <row r="38" spans="1:12" ht="14.25" thickTop="1">
      <c r="A38" s="53"/>
      <c r="B38" s="53"/>
      <c r="C38" s="53"/>
      <c r="E38" s="299" t="s">
        <v>85</v>
      </c>
      <c r="F38" s="349">
        <f>'2-1'!B23</f>
        <v>105000</v>
      </c>
      <c r="G38" s="349">
        <f aca="true" t="shared" si="3" ref="G38:G46">-SUMIF($E$4:$E$18,$E38,$J$4:$J$18)+SUMIF($E$21:$E$35,$E38,$J$21:$J$35)</f>
        <v>0</v>
      </c>
      <c r="H38" s="549">
        <f aca="true" t="shared" si="4" ref="H38:H46">-SUMIF($E$4:$E$18,$E38,$M$4:$M$18)+SUMIF($E$21:$E$35,$E38,$M$21:$M$35)</f>
        <v>0</v>
      </c>
      <c r="I38" s="593"/>
      <c r="J38" s="351">
        <f aca="true" t="shared" si="5" ref="J38:J46">G38-H38</f>
        <v>0</v>
      </c>
      <c r="K38" s="530">
        <f aca="true" t="shared" si="6" ref="K38:K46">F38+G38</f>
        <v>105000</v>
      </c>
      <c r="L38" s="604"/>
    </row>
    <row r="39" spans="1:12" ht="13.5">
      <c r="A39" s="53"/>
      <c r="B39" s="53"/>
      <c r="C39" s="53"/>
      <c r="E39" s="299" t="s">
        <v>86</v>
      </c>
      <c r="F39" s="353">
        <f>'2-1'!C23</f>
        <v>103120</v>
      </c>
      <c r="G39" s="349">
        <f t="shared" si="3"/>
        <v>0</v>
      </c>
      <c r="H39" s="527">
        <f t="shared" si="4"/>
        <v>0</v>
      </c>
      <c r="I39" s="582"/>
      <c r="J39" s="351">
        <f t="shared" si="5"/>
        <v>0</v>
      </c>
      <c r="K39" s="530">
        <f t="shared" si="6"/>
        <v>103120</v>
      </c>
      <c r="L39" s="604"/>
    </row>
    <row r="40" spans="1:12" ht="13.5">
      <c r="A40" s="53"/>
      <c r="B40" s="53"/>
      <c r="C40" s="53"/>
      <c r="E40" s="299" t="s">
        <v>125</v>
      </c>
      <c r="F40" s="353">
        <f>'2-1'!D23</f>
        <v>762290</v>
      </c>
      <c r="G40" s="349">
        <f t="shared" si="3"/>
        <v>0</v>
      </c>
      <c r="H40" s="527">
        <f t="shared" si="4"/>
        <v>0</v>
      </c>
      <c r="I40" s="582"/>
      <c r="J40" s="351">
        <f t="shared" si="5"/>
        <v>0</v>
      </c>
      <c r="K40" s="530">
        <f t="shared" si="6"/>
        <v>762290</v>
      </c>
      <c r="L40" s="604"/>
    </row>
    <row r="41" spans="1:12" ht="13.5">
      <c r="A41" s="53"/>
      <c r="B41" s="53"/>
      <c r="C41" s="53"/>
      <c r="E41" s="299" t="s">
        <v>126</v>
      </c>
      <c r="F41" s="353">
        <f>'2-1'!E23</f>
        <v>0</v>
      </c>
      <c r="G41" s="349">
        <f t="shared" si="3"/>
        <v>0</v>
      </c>
      <c r="H41" s="527">
        <f t="shared" si="4"/>
        <v>0</v>
      </c>
      <c r="I41" s="582"/>
      <c r="J41" s="351">
        <f t="shared" si="5"/>
        <v>0</v>
      </c>
      <c r="K41" s="530">
        <f t="shared" si="6"/>
        <v>0</v>
      </c>
      <c r="L41" s="604"/>
    </row>
    <row r="42" spans="1:12" ht="13.5">
      <c r="A42" s="53"/>
      <c r="B42" s="53"/>
      <c r="C42" s="53"/>
      <c r="E42" s="299" t="s">
        <v>87</v>
      </c>
      <c r="F42" s="353">
        <f>'2-1'!F23</f>
        <v>0</v>
      </c>
      <c r="G42" s="349">
        <f t="shared" si="3"/>
        <v>0</v>
      </c>
      <c r="H42" s="527">
        <f t="shared" si="4"/>
        <v>0</v>
      </c>
      <c r="I42" s="582"/>
      <c r="J42" s="351">
        <f t="shared" si="5"/>
        <v>0</v>
      </c>
      <c r="K42" s="530">
        <f t="shared" si="6"/>
        <v>0</v>
      </c>
      <c r="L42" s="604"/>
    </row>
    <row r="43" spans="1:12" ht="13.5">
      <c r="A43" s="53"/>
      <c r="B43" s="53"/>
      <c r="C43" s="53"/>
      <c r="E43" s="299" t="s">
        <v>88</v>
      </c>
      <c r="F43" s="353">
        <f>'2-1'!G23</f>
        <v>0</v>
      </c>
      <c r="G43" s="349">
        <f t="shared" si="3"/>
        <v>0</v>
      </c>
      <c r="H43" s="527">
        <f t="shared" si="4"/>
        <v>0</v>
      </c>
      <c r="I43" s="582"/>
      <c r="J43" s="351">
        <f t="shared" si="5"/>
        <v>0</v>
      </c>
      <c r="K43" s="530">
        <f t="shared" si="6"/>
        <v>0</v>
      </c>
      <c r="L43" s="604"/>
    </row>
    <row r="44" spans="1:12" ht="13.5">
      <c r="A44" s="53"/>
      <c r="B44" s="53"/>
      <c r="C44" s="53"/>
      <c r="E44" s="299" t="s">
        <v>89</v>
      </c>
      <c r="F44" s="353">
        <f>'2-1'!H23</f>
        <v>0</v>
      </c>
      <c r="G44" s="349">
        <f t="shared" si="3"/>
        <v>0</v>
      </c>
      <c r="H44" s="527">
        <f t="shared" si="4"/>
        <v>0</v>
      </c>
      <c r="I44" s="582"/>
      <c r="J44" s="351">
        <f t="shared" si="5"/>
        <v>0</v>
      </c>
      <c r="K44" s="530">
        <f t="shared" si="6"/>
        <v>0</v>
      </c>
      <c r="L44" s="604"/>
    </row>
    <row r="45" spans="1:12" ht="13.5">
      <c r="A45" s="53"/>
      <c r="B45" s="53"/>
      <c r="C45" s="53"/>
      <c r="E45" s="299" t="s">
        <v>90</v>
      </c>
      <c r="F45" s="353">
        <f>'2-1'!I23</f>
        <v>0</v>
      </c>
      <c r="G45" s="349">
        <f t="shared" si="3"/>
        <v>0</v>
      </c>
      <c r="H45" s="527">
        <f t="shared" si="4"/>
        <v>0</v>
      </c>
      <c r="I45" s="582"/>
      <c r="J45" s="351">
        <f t="shared" si="5"/>
        <v>0</v>
      </c>
      <c r="K45" s="530">
        <f t="shared" si="6"/>
        <v>0</v>
      </c>
      <c r="L45" s="604"/>
    </row>
    <row r="46" spans="1:12" ht="14.25" thickBot="1">
      <c r="A46" s="53"/>
      <c r="B46" s="53"/>
      <c r="C46" s="53"/>
      <c r="E46" s="299" t="s">
        <v>138</v>
      </c>
      <c r="F46" s="400">
        <f>'2-1'!J23</f>
        <v>19000</v>
      </c>
      <c r="G46" s="349">
        <f t="shared" si="3"/>
        <v>0</v>
      </c>
      <c r="H46" s="624">
        <f t="shared" si="4"/>
        <v>0</v>
      </c>
      <c r="I46" s="625"/>
      <c r="J46" s="351">
        <f t="shared" si="5"/>
        <v>0</v>
      </c>
      <c r="K46" s="600">
        <f t="shared" si="6"/>
        <v>19000</v>
      </c>
      <c r="L46" s="601"/>
    </row>
    <row r="47" spans="1:12" ht="15" thickBot="1" thickTop="1">
      <c r="A47" s="53"/>
      <c r="B47" s="53"/>
      <c r="C47" s="53"/>
      <c r="E47" s="401" t="s">
        <v>15</v>
      </c>
      <c r="F47" s="356">
        <f>SUM(F38:F46)</f>
        <v>989410</v>
      </c>
      <c r="G47" s="356">
        <f>SUM(G38:G46)</f>
        <v>0</v>
      </c>
      <c r="H47" s="623">
        <f>SUM(H38:I46)</f>
        <v>0</v>
      </c>
      <c r="I47" s="618"/>
      <c r="J47" s="357">
        <f>SUM(J38:J46)</f>
        <v>0</v>
      </c>
      <c r="K47" s="597">
        <f>SUM(K38:L46)</f>
        <v>989410</v>
      </c>
      <c r="L47" s="59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5"/>
  <sheetViews>
    <sheetView showZeros="0" view="pageBreakPreview" zoomScaleSheetLayoutView="100" workbookViewId="0" topLeftCell="A1">
      <pane xSplit="4" ySplit="3" topLeftCell="E4" activePane="bottomRight" state="frozen"/>
      <selection pane="topLeft" activeCell="H7" sqref="H7:K7"/>
      <selection pane="topRight" activeCell="H7" sqref="H7:K7"/>
      <selection pane="bottomLeft" activeCell="H7" sqref="H7:K7"/>
      <selection pane="bottomRight" activeCell="A4" sqref="A4:IV4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24" t="s">
        <v>141</v>
      </c>
      <c r="B3" s="296"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9" t="s">
        <v>111</v>
      </c>
      <c r="Q3" s="297" t="s">
        <v>107</v>
      </c>
      <c r="R3" s="62" t="s">
        <v>148</v>
      </c>
      <c r="S3" s="61" t="s">
        <v>149</v>
      </c>
      <c r="T3" s="61" t="s">
        <v>150</v>
      </c>
      <c r="U3" s="61" t="s">
        <v>151</v>
      </c>
    </row>
    <row r="4" spans="1:21" ht="30" customHeight="1">
      <c r="A4" s="364">
        <f>'1-2'!A4</f>
        <v>0</v>
      </c>
      <c r="B4" s="365">
        <f>'1-2'!B4</f>
        <v>0</v>
      </c>
      <c r="C4" s="366">
        <f>'1-2'!C4</f>
        <v>0</v>
      </c>
      <c r="D4" s="245">
        <v>1</v>
      </c>
      <c r="E4" s="304" t="str">
        <f>'2-2'!E4</f>
        <v>負担金、補助及び交付金</v>
      </c>
      <c r="F4" s="304" t="str">
        <f>'2-2'!F4</f>
        <v>各種団体負担金（会費）</v>
      </c>
      <c r="G4" s="305">
        <f>'2-2'!G4</f>
        <v>85890</v>
      </c>
      <c r="H4" s="306">
        <f>'2-2'!H4</f>
        <v>1</v>
      </c>
      <c r="I4" s="306">
        <f>'2-2'!I4</f>
        <v>1</v>
      </c>
      <c r="J4" s="367">
        <f>'2-2'!J4</f>
        <v>85890</v>
      </c>
      <c r="K4" s="368" t="str">
        <f>'2-2'!K4</f>
        <v>各種団体負担金（会費）</v>
      </c>
      <c r="L4" s="305">
        <f>'2-2'!L4</f>
        <v>72890</v>
      </c>
      <c r="M4" s="306">
        <f>'2-2'!M4</f>
        <v>1</v>
      </c>
      <c r="N4" s="306">
        <f>'2-2'!N4</f>
        <v>1</v>
      </c>
      <c r="O4" s="369">
        <f>L4*M4*N4</f>
        <v>72890</v>
      </c>
      <c r="P4" s="370">
        <f>'2-2'!P4</f>
        <v>0</v>
      </c>
      <c r="Q4" s="371" t="str">
        <f>'2-2'!Q4</f>
        <v>詳細は様式２－３のとおり</v>
      </c>
      <c r="R4" s="25">
        <f>IF(AND(ISNA(MATCH($D4,'随時②-2'!$D$4:$D$18,0)),ISNA(MATCH($D4,'随時③-2'!$D$4:$D$18,0))),0,1)</f>
        <v>0</v>
      </c>
      <c r="S4" s="63">
        <f aca="true" t="shared" si="0" ref="S4:S21">IF(P4="◎",J4,"")</f>
      </c>
      <c r="T4" s="63">
        <f aca="true" t="shared" si="1" ref="T4:T21">IF(P4="◎",O4,"")</f>
      </c>
      <c r="U4" s="5">
        <f>IF($E4=0,"",VLOOKUP($E4,$V$5:$X$13,2))</f>
        <v>9</v>
      </c>
    </row>
    <row r="5" spans="1:23" ht="30" customHeight="1">
      <c r="A5" s="372">
        <f>'1-2'!A5</f>
        <v>0</v>
      </c>
      <c r="B5" s="373" t="str">
        <f>'1-2'!B5</f>
        <v>1（１）ウ</v>
      </c>
      <c r="C5" s="374" t="str">
        <f>'1-2'!C5</f>
        <v>専門性の向上</v>
      </c>
      <c r="D5" s="256">
        <v>2</v>
      </c>
      <c r="E5" s="316" t="str">
        <f>'2-2'!E5</f>
        <v>消耗需用費</v>
      </c>
      <c r="F5" s="317" t="str">
        <f>'2-2'!F5</f>
        <v>命と性の授業セット等物品購入【消耗品）</v>
      </c>
      <c r="G5" s="226">
        <f>'2-2'!G5</f>
        <v>159840</v>
      </c>
      <c r="H5" s="318">
        <f>'2-2'!H5</f>
        <v>1</v>
      </c>
      <c r="I5" s="318">
        <f>'2-2'!I5</f>
        <v>1</v>
      </c>
      <c r="J5" s="375">
        <f>'2-2'!J5</f>
        <v>159840</v>
      </c>
      <c r="K5" s="376" t="str">
        <f>'2-2'!K5</f>
        <v>命と性の授業セット等物品購入【消耗品）</v>
      </c>
      <c r="L5" s="226">
        <f>'2-2'!L5</f>
        <v>159840</v>
      </c>
      <c r="M5" s="318">
        <f>'2-2'!M5</f>
        <v>1</v>
      </c>
      <c r="N5" s="318">
        <f>'2-2'!N5</f>
        <v>1</v>
      </c>
      <c r="O5" s="344">
        <f>L5*M5*N5</f>
        <v>159840</v>
      </c>
      <c r="P5" s="377">
        <f>'2-2'!P5</f>
        <v>0</v>
      </c>
      <c r="Q5" s="378" t="str">
        <f>'2-2'!Q5</f>
        <v>別紙明細書のとおり</v>
      </c>
      <c r="R5" s="25">
        <f>IF(AND(ISNA(MATCH($D5,'随時②-2'!$D$4:$D$18,0)),ISNA(MATCH($D5,'随時③-2'!$D$4:$D$18,0))),0,1)</f>
        <v>0</v>
      </c>
      <c r="S5" s="63">
        <f t="shared" si="0"/>
      </c>
      <c r="T5" s="63">
        <f t="shared" si="1"/>
      </c>
      <c r="U5" s="5">
        <f aca="true" t="shared" si="2" ref="U5:U21">IF($E5=0,"",VLOOKUP($E5,$V$5:$X$13,2))</f>
        <v>7</v>
      </c>
      <c r="V5" s="5" t="s">
        <v>152</v>
      </c>
      <c r="W5" s="5">
        <v>6</v>
      </c>
    </row>
    <row r="6" spans="1:23" ht="30" customHeight="1">
      <c r="A6" s="372">
        <f>'1-2'!A6</f>
        <v>0</v>
      </c>
      <c r="B6" s="373" t="str">
        <f>'1-2'!B6</f>
        <v>２（２）オ</v>
      </c>
      <c r="C6" s="374" t="str">
        <f>'1-2'!C6</f>
        <v>クリーンタイムの充実</v>
      </c>
      <c r="D6" s="256">
        <v>3</v>
      </c>
      <c r="E6" s="316" t="str">
        <f>'2-2'!E6</f>
        <v>消耗需用費</v>
      </c>
      <c r="F6" s="317" t="str">
        <f>'2-2'!F6</f>
        <v>フローリングワイパー60等物品購入【消耗品）</v>
      </c>
      <c r="G6" s="226">
        <f>'2-2'!G6</f>
        <v>30116</v>
      </c>
      <c r="H6" s="318">
        <f>'2-2'!H6</f>
        <v>1</v>
      </c>
      <c r="I6" s="318">
        <f>'2-2'!I6</f>
        <v>1</v>
      </c>
      <c r="J6" s="375">
        <f>'2-2'!J6</f>
        <v>30116</v>
      </c>
      <c r="K6" s="376" t="str">
        <f>'2-2'!K6</f>
        <v>フローリングワイパー60等物品購入【消耗品）</v>
      </c>
      <c r="L6" s="226">
        <f>'2-2'!L6</f>
        <v>30116</v>
      </c>
      <c r="M6" s="318">
        <f>'2-2'!M6</f>
        <v>1</v>
      </c>
      <c r="N6" s="318">
        <f>'2-2'!N6</f>
        <v>1</v>
      </c>
      <c r="O6" s="344">
        <f aca="true" t="shared" si="3" ref="O6:O21">L6*M6*N6</f>
        <v>30116</v>
      </c>
      <c r="P6" s="377">
        <f>'2-2'!P6</f>
        <v>0</v>
      </c>
      <c r="Q6" s="378" t="str">
        <f>'2-2'!Q6</f>
        <v>別紙明細書のとおり</v>
      </c>
      <c r="R6" s="25">
        <f>IF(AND(ISNA(MATCH($D6,'随時②-2'!$D$4:$D$18,0)),ISNA(MATCH($D6,'随時③-2'!$D$4:$D$18,0))),0,1)</f>
        <v>0</v>
      </c>
      <c r="S6" s="63">
        <f t="shared" si="0"/>
      </c>
      <c r="T6" s="63">
        <f t="shared" si="1"/>
      </c>
      <c r="U6" s="5">
        <f t="shared" si="2"/>
        <v>7</v>
      </c>
      <c r="V6" s="5" t="s">
        <v>153</v>
      </c>
      <c r="W6" s="5">
        <v>4</v>
      </c>
    </row>
    <row r="7" spans="1:23" ht="30" customHeight="1">
      <c r="A7" s="372">
        <f>'1-2'!A7</f>
        <v>0</v>
      </c>
      <c r="B7" s="373" t="str">
        <f>'1-2'!B7</f>
        <v>３（３）イ</v>
      </c>
      <c r="C7" s="374" t="str">
        <f>'1-2'!C7</f>
        <v>個別の教育支援計画の充実</v>
      </c>
      <c r="D7" s="256">
        <v>4</v>
      </c>
      <c r="E7" s="316" t="str">
        <f>'2-2'!E7</f>
        <v>消耗需用費</v>
      </c>
      <c r="F7" s="317" t="str">
        <f>'2-2'!F7</f>
        <v>新版S-M社会生活能力検査用紙等物品購入【消耗品）</v>
      </c>
      <c r="G7" s="226">
        <f>'2-2'!G7</f>
        <v>64800</v>
      </c>
      <c r="H7" s="318">
        <f>'2-2'!H7</f>
        <v>1</v>
      </c>
      <c r="I7" s="318">
        <f>'2-2'!I7</f>
        <v>1</v>
      </c>
      <c r="J7" s="375">
        <f>'2-2'!J7</f>
        <v>64800</v>
      </c>
      <c r="K7" s="376" t="str">
        <f>'2-2'!K7</f>
        <v>新版S-M社会生活能力検査用紙等物品購入【消耗品）</v>
      </c>
      <c r="L7" s="226">
        <f>'2-2'!L7</f>
        <v>64800</v>
      </c>
      <c r="M7" s="318">
        <f>'2-2'!M7</f>
        <v>1</v>
      </c>
      <c r="N7" s="318">
        <f>'2-2'!N7</f>
        <v>1</v>
      </c>
      <c r="O7" s="344">
        <f t="shared" si="3"/>
        <v>64800</v>
      </c>
      <c r="P7" s="377">
        <f>'2-2'!P7</f>
        <v>0</v>
      </c>
      <c r="Q7" s="378" t="str">
        <f>'2-2'!Q7</f>
        <v>別紙明細書のとおり</v>
      </c>
      <c r="R7" s="25">
        <f>IF(AND(ISNA(MATCH($D7,'随時②-2'!$D$4:$D$18,0)),ISNA(MATCH($D7,'随時③-2'!$D$4:$D$18,0))),0,1)</f>
        <v>0</v>
      </c>
      <c r="S7" s="63">
        <f t="shared" si="0"/>
      </c>
      <c r="T7" s="63">
        <f t="shared" si="1"/>
      </c>
      <c r="U7" s="5">
        <f t="shared" si="2"/>
        <v>7</v>
      </c>
      <c r="V7" s="5" t="s">
        <v>154</v>
      </c>
      <c r="W7" s="5">
        <v>7</v>
      </c>
    </row>
    <row r="8" spans="1:23" ht="30" customHeight="1">
      <c r="A8" s="372">
        <f>'1-2'!A8</f>
        <v>0</v>
      </c>
      <c r="B8" s="373" t="str">
        <f>'1-2'!B8</f>
        <v>４（１）イ</v>
      </c>
      <c r="C8" s="374" t="str">
        <f>'1-2'!C8</f>
        <v>高床式砂栽培の実践の深化</v>
      </c>
      <c r="D8" s="265">
        <v>5</v>
      </c>
      <c r="E8" s="316" t="str">
        <f>'2-2'!E8</f>
        <v>消耗需用費</v>
      </c>
      <c r="F8" s="317" t="str">
        <f>'2-2'!F8</f>
        <v>砂、育苗用シート、ネット等の物品購入【消耗品）</v>
      </c>
      <c r="G8" s="226">
        <f>'2-2'!G8</f>
        <v>101494</v>
      </c>
      <c r="H8" s="318">
        <f>'2-2'!H8</f>
        <v>1</v>
      </c>
      <c r="I8" s="318">
        <f>'2-2'!I8</f>
        <v>1</v>
      </c>
      <c r="J8" s="375">
        <f>'2-2'!J8</f>
        <v>101494</v>
      </c>
      <c r="K8" s="376" t="str">
        <f>'2-2'!K8</f>
        <v>砂、育苗用シート、ネット等の物品購入【消耗品）</v>
      </c>
      <c r="L8" s="226">
        <f>'2-2'!L8</f>
        <v>101494</v>
      </c>
      <c r="M8" s="318">
        <f>'2-2'!M8</f>
        <v>1</v>
      </c>
      <c r="N8" s="318">
        <f>'2-2'!N8</f>
        <v>1</v>
      </c>
      <c r="O8" s="344">
        <f t="shared" si="3"/>
        <v>101494</v>
      </c>
      <c r="P8" s="377">
        <f>'2-2'!P8</f>
        <v>0</v>
      </c>
      <c r="Q8" s="378" t="str">
        <f>'2-2'!Q8</f>
        <v>別紙明細書のとおり</v>
      </c>
      <c r="R8" s="25">
        <f>IF(AND(ISNA(MATCH($D8,'随時②-2'!$D$4:$D$18,0)),ISNA(MATCH($D8,'随時③-2'!$D$4:$D$18,0))),0,1)</f>
        <v>0</v>
      </c>
      <c r="S8" s="63">
        <f t="shared" si="0"/>
      </c>
      <c r="T8" s="63">
        <f t="shared" si="1"/>
      </c>
      <c r="U8" s="5">
        <f t="shared" si="2"/>
        <v>7</v>
      </c>
      <c r="V8" s="5" t="s">
        <v>155</v>
      </c>
      <c r="W8" s="5">
        <v>3</v>
      </c>
    </row>
    <row r="9" spans="1:23" ht="30" customHeight="1">
      <c r="A9" s="372">
        <f>'1-2'!A9</f>
        <v>0</v>
      </c>
      <c r="B9" s="373" t="str">
        <f>'1-2'!B9</f>
        <v>４（２）エ</v>
      </c>
      <c r="C9" s="374" t="str">
        <f>'1-2'!C9</f>
        <v>進路指導の充実・発展</v>
      </c>
      <c r="D9" s="256">
        <v>6</v>
      </c>
      <c r="E9" s="316" t="str">
        <f>'2-2'!E9</f>
        <v>消耗需用費</v>
      </c>
      <c r="F9" s="317" t="str">
        <f>'2-2'!F9</f>
        <v>ｲﾝﾊﾟｸﾄﾄﾞﾗｲﾊﾞｰ補修ｾｯﾄ等の物品購入(消耗品)</v>
      </c>
      <c r="G9" s="226">
        <f>'2-2'!G9</f>
        <v>153599</v>
      </c>
      <c r="H9" s="318">
        <f>'2-2'!H9</f>
        <v>1</v>
      </c>
      <c r="I9" s="318">
        <f>'2-2'!I9</f>
        <v>1</v>
      </c>
      <c r="J9" s="375">
        <f>'2-2'!J9</f>
        <v>153599</v>
      </c>
      <c r="K9" s="376" t="str">
        <f>'2-2'!K9</f>
        <v>ｲﾝﾊﾟｸﾄﾄﾞﾗｲﾊﾞｰ補修ｾｯﾄ等の物品購入(消耗品)</v>
      </c>
      <c r="L9" s="226">
        <f>'2-2'!L9</f>
        <v>153599</v>
      </c>
      <c r="M9" s="318">
        <f>'2-2'!M9</f>
        <v>1</v>
      </c>
      <c r="N9" s="318">
        <f>'2-2'!N9</f>
        <v>1</v>
      </c>
      <c r="O9" s="344">
        <f t="shared" si="3"/>
        <v>153599</v>
      </c>
      <c r="P9" s="377">
        <f>'2-2'!P9</f>
        <v>0</v>
      </c>
      <c r="Q9" s="378" t="str">
        <f>'2-2'!Q9</f>
        <v>別紙明細書のとおり</v>
      </c>
      <c r="R9" s="25">
        <f>IF(AND(ISNA(MATCH($D9,'随時②-2'!$D$4:$D$18,0)),ISNA(MATCH($D9,'随時③-2'!$D$4:$D$18,0))),0,1)</f>
        <v>0</v>
      </c>
      <c r="S9" s="63">
        <f t="shared" si="0"/>
      </c>
      <c r="T9" s="63">
        <f t="shared" si="1"/>
      </c>
      <c r="U9" s="5">
        <f t="shared" si="2"/>
        <v>7</v>
      </c>
      <c r="V9" s="5" t="s">
        <v>156</v>
      </c>
      <c r="W9" s="5">
        <v>8</v>
      </c>
    </row>
    <row r="10" spans="1:23" ht="30" customHeight="1">
      <c r="A10" s="372">
        <f>'1-2'!A10</f>
        <v>0</v>
      </c>
      <c r="B10" s="373" t="str">
        <f>'1-2'!B10</f>
        <v>５（２）エ</v>
      </c>
      <c r="C10" s="374" t="str">
        <f>'1-2'!C10</f>
        <v>学校間交流の推進</v>
      </c>
      <c r="D10" s="256">
        <v>7</v>
      </c>
      <c r="E10" s="316" t="str">
        <f>'2-2'!E10</f>
        <v>消耗需用費</v>
      </c>
      <c r="F10" s="317" t="str">
        <f>'2-2'!F10</f>
        <v>学校ユニフォーム（ｻｯｶｰ等）の物品購入【消耗品）</v>
      </c>
      <c r="G10" s="226">
        <f>'2-2'!G10</f>
        <v>190008</v>
      </c>
      <c r="H10" s="318">
        <f>'2-2'!H10</f>
        <v>1</v>
      </c>
      <c r="I10" s="318">
        <f>'2-2'!I10</f>
        <v>1</v>
      </c>
      <c r="J10" s="375">
        <f>'2-2'!J10</f>
        <v>190008</v>
      </c>
      <c r="K10" s="376" t="str">
        <f>'2-2'!K10</f>
        <v>学校ユニフォーム（ｻｯｶｰ等）の物品購入【消耗品）</v>
      </c>
      <c r="L10" s="226">
        <f>'2-2'!L10</f>
        <v>190008</v>
      </c>
      <c r="M10" s="318">
        <f>'2-2'!M10</f>
        <v>1</v>
      </c>
      <c r="N10" s="318">
        <f>'2-2'!N10</f>
        <v>1</v>
      </c>
      <c r="O10" s="344">
        <f t="shared" si="3"/>
        <v>190008</v>
      </c>
      <c r="P10" s="377">
        <f>'2-2'!P10</f>
        <v>0</v>
      </c>
      <c r="Q10" s="378" t="str">
        <f>'2-2'!Q10</f>
        <v>別紙明細書のとおり</v>
      </c>
      <c r="R10" s="25">
        <f>IF(AND(ISNA(MATCH($D10,'随時②-2'!$D$4:$D$18,0)),ISNA(MATCH($D10,'随時③-2'!$D$4:$D$18,0))),0,1)</f>
        <v>0</v>
      </c>
      <c r="S10" s="63">
        <f t="shared" si="0"/>
      </c>
      <c r="T10" s="63">
        <f t="shared" si="1"/>
      </c>
      <c r="U10" s="5">
        <f t="shared" si="2"/>
        <v>7</v>
      </c>
      <c r="V10" s="5" t="s">
        <v>160</v>
      </c>
      <c r="W10" s="5">
        <v>9</v>
      </c>
    </row>
    <row r="11" spans="1:23" ht="30" customHeight="1">
      <c r="A11" s="372">
        <f>'1-2'!A11</f>
        <v>0</v>
      </c>
      <c r="B11" s="373" t="str">
        <f>'1-2'!B11</f>
        <v>５（２）オ</v>
      </c>
      <c r="C11" s="374" t="str">
        <f>'1-2'!C11</f>
        <v>ロートギャラリーの実地</v>
      </c>
      <c r="D11" s="265">
        <v>8</v>
      </c>
      <c r="E11" s="316" t="str">
        <f>'2-2'!E11</f>
        <v>消耗需用費</v>
      </c>
      <c r="F11" s="317" t="str">
        <f>'2-2'!F11</f>
        <v>屋外用展示フレーム等の物品購入【消耗品）</v>
      </c>
      <c r="G11" s="226">
        <f>'2-2'!G11</f>
        <v>40253</v>
      </c>
      <c r="H11" s="318">
        <f>'2-2'!H11</f>
        <v>1</v>
      </c>
      <c r="I11" s="318">
        <f>'2-2'!I11</f>
        <v>1</v>
      </c>
      <c r="J11" s="375">
        <f>'2-2'!J11</f>
        <v>40253</v>
      </c>
      <c r="K11" s="376" t="str">
        <f>'2-2'!K11</f>
        <v>屋外用展示フレーム等の物品購入【消耗品）</v>
      </c>
      <c r="L11" s="226">
        <f>'2-2'!L11</f>
        <v>40253</v>
      </c>
      <c r="M11" s="318">
        <f>'2-2'!M11</f>
        <v>1</v>
      </c>
      <c r="N11" s="318">
        <f>'2-2'!N11</f>
        <v>1</v>
      </c>
      <c r="O11" s="344">
        <f t="shared" si="3"/>
        <v>40253</v>
      </c>
      <c r="P11" s="377">
        <f>'2-2'!P11</f>
        <v>0</v>
      </c>
      <c r="Q11" s="378" t="str">
        <f>'2-2'!Q11</f>
        <v>別紙明細書のとおり</v>
      </c>
      <c r="R11" s="25">
        <f>IF(AND(ISNA(MATCH($D11,'随時②-2'!$D$4:$D$18,0)),ISNA(MATCH($D11,'随時③-2'!$D$4:$D$18,0))),0,1)</f>
        <v>0</v>
      </c>
      <c r="S11" s="63">
        <f t="shared" si="0"/>
      </c>
      <c r="T11" s="63">
        <f t="shared" si="1"/>
      </c>
      <c r="U11" s="5">
        <f t="shared" si="2"/>
        <v>7</v>
      </c>
      <c r="V11" s="5" t="s">
        <v>157</v>
      </c>
      <c r="W11" s="5">
        <v>1</v>
      </c>
    </row>
    <row r="12" spans="1:23" ht="30" customHeight="1">
      <c r="A12" s="372">
        <f>'1-2'!A12</f>
        <v>0</v>
      </c>
      <c r="B12" s="373" t="str">
        <f>'1-2'!B12</f>
        <v>３（１）</v>
      </c>
      <c r="C12" s="374" t="str">
        <f>'1-2'!C12</f>
        <v>専門性の向上（人材育成）</v>
      </c>
      <c r="D12" s="265">
        <v>9</v>
      </c>
      <c r="E12" s="316" t="str">
        <f>'2-2'!E12</f>
        <v>旅費</v>
      </c>
      <c r="F12" s="317" t="str">
        <f>'2-2'!F12</f>
        <v>全国特別支援学校校長会</v>
      </c>
      <c r="G12" s="226">
        <f>'2-2'!G12</f>
        <v>50000</v>
      </c>
      <c r="H12" s="318">
        <f>'2-2'!H12</f>
        <v>1</v>
      </c>
      <c r="I12" s="318">
        <f>'2-2'!I12</f>
        <v>1</v>
      </c>
      <c r="J12" s="375">
        <f>'2-2'!J12</f>
        <v>50000</v>
      </c>
      <c r="K12" s="376" t="str">
        <f>'2-2'!K12</f>
        <v>全国特別支援学校校長会</v>
      </c>
      <c r="L12" s="226">
        <f>'2-2'!L12</f>
        <v>50000</v>
      </c>
      <c r="M12" s="318">
        <f>'2-2'!M12</f>
        <v>1</v>
      </c>
      <c r="N12" s="318">
        <f>'2-2'!N12</f>
        <v>1</v>
      </c>
      <c r="O12" s="344">
        <f t="shared" si="3"/>
        <v>50000</v>
      </c>
      <c r="P12" s="377">
        <f>'2-2'!P12</f>
        <v>0</v>
      </c>
      <c r="Q12" s="378">
        <f>'2-2'!Q12</f>
        <v>0</v>
      </c>
      <c r="R12" s="25">
        <f>IF(AND(ISNA(MATCH($D12,'随時②-2'!$D$4:$D$18,0)),ISNA(MATCH($D12,'随時③-2'!$D$4:$D$18,0))),0,1)</f>
        <v>0</v>
      </c>
      <c r="S12" s="63">
        <f t="shared" si="0"/>
      </c>
      <c r="T12" s="63">
        <f t="shared" si="1"/>
      </c>
      <c r="U12" s="5">
        <f t="shared" si="2"/>
        <v>2</v>
      </c>
      <c r="V12" s="5" t="s">
        <v>158</v>
      </c>
      <c r="W12" s="5">
        <v>5</v>
      </c>
    </row>
    <row r="13" spans="1:23" ht="30" customHeight="1">
      <c r="A13" s="372">
        <f>'1-2'!A13</f>
        <v>0</v>
      </c>
      <c r="B13" s="373" t="str">
        <f>'1-2'!B13</f>
        <v>３（１）</v>
      </c>
      <c r="C13" s="374" t="str">
        <f>'1-2'!C13</f>
        <v>専門性の向上（人材育成）</v>
      </c>
      <c r="D13" s="275">
        <v>10</v>
      </c>
      <c r="E13" s="316" t="str">
        <f>'2-2'!E13</f>
        <v>旅費</v>
      </c>
      <c r="F13" s="317" t="str">
        <f>'2-2'!F13</f>
        <v>全国特別支援学校知的障害教育教頭会研究会</v>
      </c>
      <c r="G13" s="226">
        <f>'2-2'!G13</f>
        <v>35000</v>
      </c>
      <c r="H13" s="318">
        <f>'2-2'!H13</f>
        <v>1</v>
      </c>
      <c r="I13" s="318">
        <f>'2-2'!I13</f>
        <v>1</v>
      </c>
      <c r="J13" s="375">
        <f>'2-2'!J13</f>
        <v>35000</v>
      </c>
      <c r="K13" s="376" t="str">
        <f>'2-2'!K13</f>
        <v>全国特別支援学校知的障害教育教頭会研究会</v>
      </c>
      <c r="L13" s="226">
        <f>'2-2'!L13</f>
        <v>20980</v>
      </c>
      <c r="M13" s="318">
        <f>'2-2'!M13</f>
        <v>1</v>
      </c>
      <c r="N13" s="318">
        <f>'2-2'!N13</f>
        <v>1</v>
      </c>
      <c r="O13" s="344">
        <f t="shared" si="3"/>
        <v>20980</v>
      </c>
      <c r="P13" s="377">
        <f>'2-2'!P13</f>
        <v>0</v>
      </c>
      <c r="Q13" s="378">
        <f>'2-2'!Q13</f>
        <v>0</v>
      </c>
      <c r="R13" s="25">
        <f>IF(AND(ISNA(MATCH($D13,'随時②-2'!$D$4:$D$18,0)),ISNA(MATCH($D13,'随時③-2'!$D$4:$D$18,0))),0,1)</f>
        <v>0</v>
      </c>
      <c r="S13" s="63">
        <f t="shared" si="0"/>
      </c>
      <c r="T13" s="63">
        <f t="shared" si="1"/>
      </c>
      <c r="U13" s="5">
        <f t="shared" si="2"/>
        <v>2</v>
      </c>
      <c r="V13" s="5" t="s">
        <v>159</v>
      </c>
      <c r="W13" s="5">
        <v>2</v>
      </c>
    </row>
    <row r="14" spans="1:21" ht="30" customHeight="1">
      <c r="A14" s="372">
        <f>'1-2'!A14</f>
        <v>0</v>
      </c>
      <c r="B14" s="373" t="str">
        <f>'1-2'!B14</f>
        <v>３（１）</v>
      </c>
      <c r="C14" s="374" t="str">
        <f>'1-2'!C14</f>
        <v>専門性の向上（人材育成）</v>
      </c>
      <c r="D14" s="256">
        <v>11</v>
      </c>
      <c r="E14" s="316" t="str">
        <f>'2-2'!E14</f>
        <v>報償費</v>
      </c>
      <c r="F14" s="317" t="str">
        <f>'2-2'!F14</f>
        <v>性教育研修</v>
      </c>
      <c r="G14" s="226">
        <f>'2-2'!G14</f>
        <v>20000</v>
      </c>
      <c r="H14" s="318">
        <f>'2-2'!H14</f>
        <v>1</v>
      </c>
      <c r="I14" s="318">
        <f>'2-2'!I14</f>
        <v>1</v>
      </c>
      <c r="J14" s="375">
        <f>'2-2'!J14</f>
        <v>20000</v>
      </c>
      <c r="K14" s="376" t="str">
        <f>'2-2'!K14</f>
        <v>性教育研修</v>
      </c>
      <c r="L14" s="226">
        <f>'2-2'!L14</f>
        <v>20000</v>
      </c>
      <c r="M14" s="318">
        <f>'2-2'!M14</f>
        <v>1</v>
      </c>
      <c r="N14" s="318">
        <f>'2-2'!N14</f>
        <v>1</v>
      </c>
      <c r="O14" s="344">
        <f t="shared" si="3"/>
        <v>20000</v>
      </c>
      <c r="P14" s="377">
        <f>'2-2'!P14</f>
        <v>0</v>
      </c>
      <c r="Q14" s="378">
        <f>'2-2'!Q14</f>
        <v>0</v>
      </c>
      <c r="R14" s="25">
        <f>IF(AND(ISNA(MATCH($D14,'随時②-2'!$D$4:$D$18,0)),ISNA(MATCH($D14,'随時③-2'!$D$4:$D$18,0))),0,1)</f>
        <v>0</v>
      </c>
      <c r="S14" s="63">
        <f t="shared" si="0"/>
      </c>
      <c r="T14" s="63">
        <f t="shared" si="1"/>
      </c>
      <c r="U14" s="5">
        <f t="shared" si="2"/>
        <v>1</v>
      </c>
    </row>
    <row r="15" spans="1:21" ht="30" customHeight="1">
      <c r="A15" s="372">
        <f>'1-2'!A15</f>
        <v>0</v>
      </c>
      <c r="B15" s="373" t="str">
        <f>'1-2'!B15</f>
        <v>３（１）</v>
      </c>
      <c r="C15" s="374" t="str">
        <f>'1-2'!C15</f>
        <v>専門性の向上（人材育成）</v>
      </c>
      <c r="D15" s="256">
        <v>12</v>
      </c>
      <c r="E15" s="316" t="str">
        <f>'2-2'!E15</f>
        <v>報償費</v>
      </c>
      <c r="F15" s="317" t="str">
        <f>'2-2'!F15</f>
        <v>ビジネスマナー研修</v>
      </c>
      <c r="G15" s="226">
        <f>'2-2'!G15</f>
        <v>10000</v>
      </c>
      <c r="H15" s="318">
        <f>'2-2'!H15</f>
        <v>1</v>
      </c>
      <c r="I15" s="318">
        <f>'2-2'!I15</f>
        <v>1</v>
      </c>
      <c r="J15" s="375">
        <f>'2-2'!J15</f>
        <v>10000</v>
      </c>
      <c r="K15" s="376" t="str">
        <f>'2-2'!K15</f>
        <v>ビジネスマナー研修</v>
      </c>
      <c r="L15" s="226">
        <f>'2-2'!L15</f>
        <v>10000</v>
      </c>
      <c r="M15" s="318">
        <f>'2-2'!M15</f>
        <v>1</v>
      </c>
      <c r="N15" s="318">
        <f>'2-2'!N15</f>
        <v>1</v>
      </c>
      <c r="O15" s="344">
        <f t="shared" si="3"/>
        <v>10000</v>
      </c>
      <c r="P15" s="377">
        <f>'2-2'!P15</f>
        <v>0</v>
      </c>
      <c r="Q15" s="378">
        <f>'2-2'!Q15</f>
        <v>0</v>
      </c>
      <c r="R15" s="25">
        <f>IF(AND(ISNA(MATCH($D15,'随時②-2'!$D$4:$D$18,0)),ISNA(MATCH($D15,'随時③-2'!$D$4:$D$18,0))),0,1)</f>
        <v>0</v>
      </c>
      <c r="S15" s="63">
        <f t="shared" si="0"/>
      </c>
      <c r="T15" s="63">
        <f t="shared" si="1"/>
      </c>
      <c r="U15" s="5">
        <f t="shared" si="2"/>
        <v>1</v>
      </c>
    </row>
    <row r="16" spans="1:21" ht="30" customHeight="1">
      <c r="A16" s="372">
        <f>'1-2'!A16</f>
        <v>0</v>
      </c>
      <c r="B16" s="373" t="str">
        <f>'1-2'!B16</f>
        <v>３（１）</v>
      </c>
      <c r="C16" s="374" t="str">
        <f>'1-2'!C16</f>
        <v>専門性の向上（人材育成）</v>
      </c>
      <c r="D16" s="256">
        <v>13</v>
      </c>
      <c r="E16" s="316" t="str">
        <f>'2-2'!E16</f>
        <v>報償費</v>
      </c>
      <c r="F16" s="317" t="str">
        <f>'2-2'!F16</f>
        <v>キャリア教育研修</v>
      </c>
      <c r="G16" s="226">
        <f>'2-2'!G16</f>
        <v>25000</v>
      </c>
      <c r="H16" s="318">
        <f>'2-2'!H16</f>
        <v>1</v>
      </c>
      <c r="I16" s="318">
        <f>'2-2'!I16</f>
        <v>1</v>
      </c>
      <c r="J16" s="375">
        <f>'2-2'!J16</f>
        <v>25000</v>
      </c>
      <c r="K16" s="376" t="str">
        <f>'2-2'!K16</f>
        <v>キャリア教育研修</v>
      </c>
      <c r="L16" s="226">
        <f>'2-2'!L16</f>
        <v>25000</v>
      </c>
      <c r="M16" s="318">
        <f>'2-2'!M16</f>
        <v>1</v>
      </c>
      <c r="N16" s="318">
        <f>'2-2'!N16</f>
        <v>1</v>
      </c>
      <c r="O16" s="344">
        <f t="shared" si="3"/>
        <v>25000</v>
      </c>
      <c r="P16" s="377">
        <f>'2-2'!P16</f>
        <v>0</v>
      </c>
      <c r="Q16" s="378">
        <f>'2-2'!Q16</f>
        <v>0</v>
      </c>
      <c r="R16" s="25">
        <f>IF(AND(ISNA(MATCH($D16,'随時②-2'!$D$4:$D$18,0)),ISNA(MATCH($D16,'随時③-2'!$D$4:$D$18,0))),0,1)</f>
        <v>0</v>
      </c>
      <c r="S16" s="63">
        <f t="shared" si="0"/>
      </c>
      <c r="T16" s="63">
        <f t="shared" si="1"/>
      </c>
      <c r="U16" s="5">
        <f t="shared" si="2"/>
        <v>1</v>
      </c>
    </row>
    <row r="17" spans="1:21" ht="30" customHeight="1">
      <c r="A17" s="372">
        <f>'1-2'!A17</f>
        <v>0</v>
      </c>
      <c r="B17" s="373" t="str">
        <f>'1-2'!B17</f>
        <v>３（１）</v>
      </c>
      <c r="C17" s="374" t="str">
        <f>'1-2'!C17</f>
        <v>専門性の向上（人材育成）</v>
      </c>
      <c r="D17" s="256">
        <v>14</v>
      </c>
      <c r="E17" s="316" t="str">
        <f>'2-2'!E17</f>
        <v>報償費</v>
      </c>
      <c r="F17" s="317" t="str">
        <f>'2-2'!F17</f>
        <v>初任教諭研授業への助言指導</v>
      </c>
      <c r="G17" s="226">
        <f>'2-2'!G17</f>
        <v>5000</v>
      </c>
      <c r="H17" s="318">
        <f>'2-2'!H17</f>
        <v>15</v>
      </c>
      <c r="I17" s="318">
        <f>'2-2'!I17</f>
        <v>1</v>
      </c>
      <c r="J17" s="375">
        <f>'2-2'!J17</f>
        <v>75000</v>
      </c>
      <c r="K17" s="376" t="str">
        <f>'2-2'!K17</f>
        <v>初任教諭研授業への助言指導</v>
      </c>
      <c r="L17" s="226">
        <f>'2-2'!L17</f>
        <v>60000</v>
      </c>
      <c r="M17" s="318">
        <f>'2-2'!M17</f>
        <v>1</v>
      </c>
      <c r="N17" s="318">
        <f>'2-2'!N17</f>
        <v>1</v>
      </c>
      <c r="O17" s="344">
        <f t="shared" si="3"/>
        <v>60000</v>
      </c>
      <c r="P17" s="377">
        <f>'2-2'!P17</f>
        <v>0</v>
      </c>
      <c r="Q17" s="378">
        <f>'2-2'!Q17</f>
        <v>0</v>
      </c>
      <c r="R17" s="25">
        <f>IF(AND(ISNA(MATCH($D17,'随時②-2'!$D$4:$D$18,0)),ISNA(MATCH($D17,'随時③-2'!$D$4:$D$18,0))),0,1)</f>
        <v>0</v>
      </c>
      <c r="S17" s="63">
        <f t="shared" si="0"/>
      </c>
      <c r="T17" s="63">
        <f t="shared" si="1"/>
      </c>
      <c r="U17" s="5">
        <f t="shared" si="2"/>
        <v>1</v>
      </c>
    </row>
    <row r="18" spans="1:21" ht="30" customHeight="1">
      <c r="A18" s="372">
        <f>'1-2'!A18</f>
        <v>0</v>
      </c>
      <c r="B18" s="373" t="str">
        <f>'1-2'!B18</f>
        <v>３（１）</v>
      </c>
      <c r="C18" s="374" t="str">
        <f>'1-2'!C18</f>
        <v>専門性の向上（人材育成）</v>
      </c>
      <c r="D18" s="256">
        <v>15</v>
      </c>
      <c r="E18" s="316" t="str">
        <f>'2-2'!E18</f>
        <v>旅費</v>
      </c>
      <c r="F18" s="317" t="str">
        <f>'2-2'!F18</f>
        <v>研究集会参加</v>
      </c>
      <c r="G18" s="226">
        <f>'2-2'!G18</f>
        <v>40000</v>
      </c>
      <c r="H18" s="318">
        <f>'2-2'!H18</f>
        <v>3</v>
      </c>
      <c r="I18" s="318">
        <f>'2-2'!I18</f>
        <v>1</v>
      </c>
      <c r="J18" s="375">
        <f>'2-2'!J18</f>
        <v>120000</v>
      </c>
      <c r="K18" s="376" t="str">
        <f>'2-2'!K18</f>
        <v>研究集会参加</v>
      </c>
      <c r="L18" s="226">
        <f>'2-2'!L18</f>
        <v>118970</v>
      </c>
      <c r="M18" s="318">
        <f>'2-2'!M18</f>
        <v>1</v>
      </c>
      <c r="N18" s="318">
        <f>'2-2'!N18</f>
        <v>1</v>
      </c>
      <c r="O18" s="344">
        <f t="shared" si="3"/>
        <v>118970</v>
      </c>
      <c r="P18" s="377">
        <f>'2-2'!P18</f>
        <v>0</v>
      </c>
      <c r="Q18" s="378">
        <f>'2-2'!Q18</f>
        <v>0</v>
      </c>
      <c r="R18" s="25">
        <f>IF(AND(ISNA(MATCH($D18,'随時②-2'!$D$4:$D$18,0)),ISNA(MATCH($D18,'随時③-2'!$D$4:$D$18,0))),0,1)</f>
        <v>0</v>
      </c>
      <c r="S18" s="63">
        <f t="shared" si="0"/>
      </c>
      <c r="T18" s="63">
        <f t="shared" si="1"/>
      </c>
      <c r="U18" s="5">
        <f t="shared" si="2"/>
        <v>2</v>
      </c>
    </row>
    <row r="19" spans="1:21" ht="30" customHeight="1">
      <c r="A19" s="372">
        <f>'1-2'!A19</f>
        <v>0</v>
      </c>
      <c r="B19" s="373" t="str">
        <f>'1-2'!B19</f>
        <v>３（１）</v>
      </c>
      <c r="C19" s="374" t="str">
        <f>'1-2'!C19</f>
        <v>専門性の向上（人材育成）</v>
      </c>
      <c r="D19" s="256">
        <v>16</v>
      </c>
      <c r="E19" s="316" t="str">
        <f>'2-2'!E19</f>
        <v>負担金、補助及び交付金</v>
      </c>
      <c r="F19" s="317" t="str">
        <f>'2-2'!F19</f>
        <v>第162回国治研セミナー負担金</v>
      </c>
      <c r="G19" s="226">
        <f>'2-2'!G19</f>
        <v>8000</v>
      </c>
      <c r="H19" s="318">
        <f>'2-2'!H19</f>
        <v>1</v>
      </c>
      <c r="I19" s="318">
        <f>'2-2'!I19</f>
        <v>1</v>
      </c>
      <c r="J19" s="375">
        <f>'2-2'!J19</f>
        <v>8000</v>
      </c>
      <c r="K19" s="376" t="str">
        <f>'2-2'!K19</f>
        <v>第162回国治研セミナー負担金</v>
      </c>
      <c r="L19" s="226">
        <f>'2-2'!L19</f>
        <v>8000</v>
      </c>
      <c r="M19" s="318">
        <f>'2-2'!M19</f>
        <v>1</v>
      </c>
      <c r="N19" s="318">
        <f>'2-2'!N19</f>
        <v>1</v>
      </c>
      <c r="O19" s="344">
        <f t="shared" si="3"/>
        <v>8000</v>
      </c>
      <c r="P19" s="377">
        <f>'2-2'!P19</f>
        <v>0</v>
      </c>
      <c r="Q19" s="378">
        <f>'2-2'!Q19</f>
        <v>0</v>
      </c>
      <c r="R19" s="25">
        <f>IF(AND(ISNA(MATCH($D19,'随時②-2'!$D$4:$D$18,0)),ISNA(MATCH($D19,'随時③-2'!$D$4:$D$18,0))),0,1)</f>
        <v>0</v>
      </c>
      <c r="S19" s="63">
        <f t="shared" si="0"/>
      </c>
      <c r="T19" s="63">
        <f t="shared" si="1"/>
      </c>
      <c r="U19" s="5">
        <f t="shared" si="2"/>
        <v>9</v>
      </c>
    </row>
    <row r="20" spans="1:21" ht="30" customHeight="1">
      <c r="A20" s="372">
        <f>'1-2'!A20</f>
        <v>0</v>
      </c>
      <c r="B20" s="373" t="str">
        <f>'1-2'!B20</f>
        <v>３（１）</v>
      </c>
      <c r="C20" s="374" t="str">
        <f>'1-2'!C20</f>
        <v>専門性の向上（人材育成）</v>
      </c>
      <c r="D20" s="256">
        <v>17</v>
      </c>
      <c r="E20" s="316" t="str">
        <f>'2-2'!E20</f>
        <v>負担金、補助及び交付金</v>
      </c>
      <c r="F20" s="317" t="str">
        <f>'2-2'!F20</f>
        <v>（公社）発達協会「実践セミナー」負担金</v>
      </c>
      <c r="G20" s="226">
        <f>'2-2'!G20</f>
        <v>14040</v>
      </c>
      <c r="H20" s="318">
        <f>'2-2'!H20</f>
        <v>1</v>
      </c>
      <c r="I20" s="318">
        <f>'2-2'!I20</f>
        <v>1</v>
      </c>
      <c r="J20" s="375">
        <f>'2-2'!J20</f>
        <v>14040</v>
      </c>
      <c r="K20" s="376" t="str">
        <f>'2-2'!K20</f>
        <v>（公社）発達協会「実践セミナー」負担金</v>
      </c>
      <c r="L20" s="226">
        <f>'2-2'!L20</f>
        <v>14040</v>
      </c>
      <c r="M20" s="318">
        <f>'2-2'!M20</f>
        <v>1</v>
      </c>
      <c r="N20" s="318">
        <f>'2-2'!N20</f>
        <v>1</v>
      </c>
      <c r="O20" s="344">
        <f t="shared" si="3"/>
        <v>14040</v>
      </c>
      <c r="P20" s="377">
        <f>'2-2'!P20</f>
        <v>0</v>
      </c>
      <c r="Q20" s="378">
        <f>'2-2'!Q20</f>
        <v>0</v>
      </c>
      <c r="R20" s="25">
        <f>IF(AND(ISNA(MATCH($D20,'随時②-2'!$D$4:$D$18,0)),ISNA(MATCH($D20,'随時③-2'!$D$4:$D$18,0))),0,1)</f>
        <v>0</v>
      </c>
      <c r="S20" s="63">
        <f t="shared" si="0"/>
      </c>
      <c r="T20" s="63">
        <f t="shared" si="1"/>
      </c>
      <c r="U20" s="5">
        <f t="shared" si="2"/>
        <v>9</v>
      </c>
    </row>
    <row r="21" spans="1:21" ht="30" customHeight="1">
      <c r="A21" s="372">
        <f>'1-2'!A21</f>
        <v>0</v>
      </c>
      <c r="B21" s="373">
        <f>'1-2'!B21</f>
        <v>0</v>
      </c>
      <c r="C21" s="374" t="str">
        <f>'1-2'!C21</f>
        <v>専門性の向上（人材育成）</v>
      </c>
      <c r="D21" s="256">
        <v>18</v>
      </c>
      <c r="E21" s="316" t="str">
        <f>'2-2'!E21</f>
        <v>消耗需用費</v>
      </c>
      <c r="F21" s="317" t="str">
        <f>'2-2'!F21</f>
        <v>各セミナー、研究集会等資料代</v>
      </c>
      <c r="G21" s="226">
        <f>'2-2'!G21</f>
        <v>6960</v>
      </c>
      <c r="H21" s="318">
        <f>'2-2'!H21</f>
        <v>1</v>
      </c>
      <c r="I21" s="318">
        <f>'2-2'!I21</f>
        <v>1</v>
      </c>
      <c r="J21" s="375">
        <f>'2-2'!J21</f>
        <v>6960</v>
      </c>
      <c r="K21" s="376" t="str">
        <f>'2-2'!K21</f>
        <v>各セミナー、研究集会等資料代</v>
      </c>
      <c r="L21" s="226">
        <f>'2-2'!L21</f>
        <v>6960</v>
      </c>
      <c r="M21" s="318">
        <f>'2-2'!M21</f>
        <v>1</v>
      </c>
      <c r="N21" s="318">
        <f>'2-2'!N21</f>
        <v>1</v>
      </c>
      <c r="O21" s="344">
        <f t="shared" si="3"/>
        <v>6960</v>
      </c>
      <c r="P21" s="377">
        <f>'2-2'!P21</f>
        <v>0</v>
      </c>
      <c r="Q21" s="378">
        <f>'2-2'!Q21</f>
        <v>0</v>
      </c>
      <c r="R21" s="25">
        <f>IF(AND(ISNA(MATCH($D21,'随時②-2'!$D$4:$D$18,0)),ISNA(MATCH($D21,'随時③-2'!$D$4:$D$18,0))),0,1)</f>
        <v>0</v>
      </c>
      <c r="S21" s="63">
        <f t="shared" si="0"/>
      </c>
      <c r="T21" s="63">
        <f t="shared" si="1"/>
      </c>
      <c r="U21" s="5">
        <f t="shared" si="2"/>
        <v>7</v>
      </c>
    </row>
    <row r="22" spans="1:20" ht="30" customHeight="1">
      <c r="A22" s="372">
        <f>'2-4'!A4</f>
        <v>0</v>
      </c>
      <c r="B22" s="373">
        <f>'2-4'!B4</f>
        <v>0</v>
      </c>
      <c r="C22" s="374">
        <f>'2-4'!C4</f>
        <v>0</v>
      </c>
      <c r="D22" s="265">
        <v>301</v>
      </c>
      <c r="E22" s="317" t="str">
        <f>IF($R22=1,"",VLOOKUP($D22,'2-4'!$D$4:$L$103,2))</f>
        <v>負担金、補助及び交付金</v>
      </c>
      <c r="F22" s="317" t="str">
        <f>IF($R22=1,"取消し",VLOOKUP($D22,'2-4'!$D$4:$L$103,3))</f>
        <v>各種団体負担金（会費）</v>
      </c>
      <c r="G22" s="226">
        <f>IF($R22=1,,VLOOKUP($D22,'2-4'!$D$4:$L$103,4))</f>
        <v>0</v>
      </c>
      <c r="H22" s="318">
        <f>IF($R22=1,,VLOOKUP($D22,'2-4'!$D$4:$L$103,5))</f>
        <v>0</v>
      </c>
      <c r="I22" s="318">
        <f>IF($R22=1,,VLOOKUP($D22,'2-4'!$D$4:$L$103,6))</f>
        <v>0</v>
      </c>
      <c r="J22" s="226">
        <f>IF($R22=1,,VLOOKUP($D22,'2-4'!$D$4:$L$103,7))</f>
        <v>0</v>
      </c>
      <c r="K22" s="341" t="str">
        <f aca="true" t="shared" si="4" ref="K22:K42">F22</f>
        <v>各種団体負担金（会費）</v>
      </c>
      <c r="L22" s="342">
        <f aca="true" t="shared" si="5" ref="L22:L42">G22</f>
        <v>0</v>
      </c>
      <c r="M22" s="343">
        <f aca="true" t="shared" si="6" ref="M22:M42">H22</f>
        <v>0</v>
      </c>
      <c r="N22" s="343">
        <f aca="true" t="shared" si="7" ref="N22:N42">I22</f>
        <v>0</v>
      </c>
      <c r="O22" s="344">
        <f>L22*M22*N22</f>
        <v>0</v>
      </c>
      <c r="P22" s="382">
        <f>IF($R22=1,"",VLOOKUP($D22,'2-4'!$D$4:$L$103,8))</f>
        <v>0</v>
      </c>
      <c r="Q22" s="281" t="s">
        <v>254</v>
      </c>
      <c r="R22" s="25">
        <f>IF(AND(ISNA(MATCH($D22,'随時②-2'!$D$4:$D$18,0)),ISNA(MATCH($D22,'随時③-2'!$D$4:$D$18,0))),0,1)</f>
        <v>0</v>
      </c>
      <c r="S22" s="63">
        <f aca="true" t="shared" si="8" ref="S22:S42">IF(P22="◎",J22,"")</f>
      </c>
      <c r="T22" s="63">
        <f aca="true" t="shared" si="9" ref="T22:T42">IF(P22="◎",O22,"")</f>
      </c>
    </row>
    <row r="23" spans="1:20" ht="30" customHeight="1">
      <c r="A23" s="379">
        <f>'2-4'!A10</f>
        <v>0</v>
      </c>
      <c r="B23" s="380">
        <f>'2-4'!B10</f>
        <v>0</v>
      </c>
      <c r="C23" s="381">
        <f>'2-4'!C10</f>
        <v>0</v>
      </c>
      <c r="D23" s="256">
        <v>307</v>
      </c>
      <c r="E23" s="317" t="str">
        <f>IF($R23=1,"",VLOOKUP($D23,'2-4'!$D$4:$L$103,2))</f>
        <v>負担金、補助及び交付金</v>
      </c>
      <c r="F23" s="317" t="str">
        <f>IF($R23=1,"取消し",VLOOKUP($D23,'2-4'!$D$4:$L$103,3))</f>
        <v>各種団体負担金（会費）</v>
      </c>
      <c r="G23" s="226">
        <f>IF($R23=1,,VLOOKUP($D23,'2-4'!$D$4:$L$103,4))</f>
        <v>10000</v>
      </c>
      <c r="H23" s="318">
        <f>IF($R23=1,,VLOOKUP($D23,'2-4'!$D$4:$L$103,5))</f>
        <v>1</v>
      </c>
      <c r="I23" s="318">
        <f>IF($R23=1,,VLOOKUP($D23,'2-4'!$D$4:$L$103,6))</f>
        <v>1</v>
      </c>
      <c r="J23" s="226">
        <f>IF($R23=1,,VLOOKUP($D23,'2-4'!$D$4:$L$103,7))</f>
        <v>10000</v>
      </c>
      <c r="K23" s="320" t="str">
        <f t="shared" si="4"/>
        <v>各種団体負担金（会費）</v>
      </c>
      <c r="L23" s="321">
        <f t="shared" si="5"/>
        <v>10000</v>
      </c>
      <c r="M23" s="322">
        <f t="shared" si="6"/>
        <v>1</v>
      </c>
      <c r="N23" s="322">
        <f t="shared" si="7"/>
        <v>1</v>
      </c>
      <c r="O23" s="311">
        <f aca="true" t="shared" si="10" ref="O23:O42">L23*M23*N23</f>
        <v>10000</v>
      </c>
      <c r="P23" s="382">
        <f>IF($R23=1,"",VLOOKUP($D23,'2-4'!$D$4:$L$103,8))</f>
        <v>0</v>
      </c>
      <c r="Q23" s="281">
        <f>IF($R23=1,"",VLOOKUP($D23,'2-4'!$D$4:$L$103,9))</f>
        <v>0</v>
      </c>
      <c r="R23" s="25">
        <f>IF(AND(ISNA(MATCH($D23,'随時②-2'!$D$4:$D$18,0)),ISNA(MATCH($D23,'随時③-2'!$D$4:$D$18,0))),0,1)</f>
        <v>0</v>
      </c>
      <c r="S23" s="63">
        <f t="shared" si="8"/>
      </c>
      <c r="T23" s="63">
        <f t="shared" si="9"/>
      </c>
    </row>
    <row r="24" spans="1:20" ht="30" customHeight="1">
      <c r="A24" s="379">
        <f>'2-4'!A11</f>
        <v>0</v>
      </c>
      <c r="B24" s="380" t="str">
        <f>'2-4'!B11</f>
        <v>1（１）ウ</v>
      </c>
      <c r="C24" s="381" t="str">
        <f>'2-4'!C11</f>
        <v>専門性の向上</v>
      </c>
      <c r="D24" s="256">
        <v>308</v>
      </c>
      <c r="E24" s="317" t="str">
        <f>IF($R24=1,"",VLOOKUP($D24,'2-4'!$D$4:$L$103,2))</f>
        <v>消耗需用費</v>
      </c>
      <c r="F24" s="317" t="str">
        <f>IF($R24=1,"取消し",VLOOKUP($D24,'2-4'!$D$4:$L$103,3))</f>
        <v>命と性の授業セット等物品購入【消耗品）</v>
      </c>
      <c r="G24" s="226">
        <f>IF($R24=1,,VLOOKUP($D24,'2-4'!$D$4:$L$103,4))</f>
        <v>125500</v>
      </c>
      <c r="H24" s="318">
        <f>IF($R24=1,,VLOOKUP($D24,'2-4'!$D$4:$L$103,5))</f>
        <v>1</v>
      </c>
      <c r="I24" s="318">
        <f>IF($R24=1,,VLOOKUP($D24,'2-4'!$D$4:$L$103,6))</f>
        <v>1</v>
      </c>
      <c r="J24" s="226">
        <f>IF($R24=1,,VLOOKUP($D24,'2-4'!$D$4:$L$103,7))</f>
        <v>125500</v>
      </c>
      <c r="K24" s="320" t="str">
        <f t="shared" si="4"/>
        <v>命と性の授業セット等物品購入【消耗品）</v>
      </c>
      <c r="L24" s="321">
        <f t="shared" si="5"/>
        <v>125500</v>
      </c>
      <c r="M24" s="322">
        <f t="shared" si="6"/>
        <v>1</v>
      </c>
      <c r="N24" s="322">
        <f t="shared" si="7"/>
        <v>1</v>
      </c>
      <c r="O24" s="311">
        <f t="shared" si="10"/>
        <v>125500</v>
      </c>
      <c r="P24" s="382">
        <f>IF($R24=1,"",VLOOKUP($D24,'2-4'!$D$4:$L$103,8))</f>
        <v>0</v>
      </c>
      <c r="Q24" s="281">
        <f>IF($R24=1,"",VLOOKUP($D24,'2-4'!$D$4:$L$103,9))</f>
        <v>0</v>
      </c>
      <c r="R24" s="25">
        <f>IF(AND(ISNA(MATCH($D24,'随時②-2'!$D$4:$D$18,0)),ISNA(MATCH($D24,'随時③-2'!$D$4:$D$18,0))),0,1)</f>
        <v>0</v>
      </c>
      <c r="S24" s="63">
        <f t="shared" si="8"/>
      </c>
      <c r="T24" s="63">
        <f t="shared" si="9"/>
      </c>
    </row>
    <row r="25" spans="1:20" ht="30" customHeight="1">
      <c r="A25" s="379">
        <f>'2-4'!A12</f>
        <v>0</v>
      </c>
      <c r="B25" s="380" t="str">
        <f>'2-4'!B12</f>
        <v>２（２）オ</v>
      </c>
      <c r="C25" s="381" t="str">
        <f>'2-4'!C12</f>
        <v>クリーンタイムの充実</v>
      </c>
      <c r="D25" s="256">
        <v>309</v>
      </c>
      <c r="E25" s="317" t="str">
        <f>IF($R25=1,"",VLOOKUP($D25,'2-4'!$D$4:$L$103,2))</f>
        <v>消耗需用費</v>
      </c>
      <c r="F25" s="317" t="str">
        <f>IF($R25=1,"取消し",VLOOKUP($D25,'2-4'!$D$4:$L$103,3))</f>
        <v>フローリングワイパー60等物品購入【消耗品）</v>
      </c>
      <c r="G25" s="226">
        <f>IF($R25=1,,VLOOKUP($D25,'2-4'!$D$4:$L$103,4))</f>
        <v>30116</v>
      </c>
      <c r="H25" s="318">
        <f>IF($R25=1,,VLOOKUP($D25,'2-4'!$D$4:$L$103,5))</f>
        <v>1</v>
      </c>
      <c r="I25" s="318">
        <f>IF($R25=1,,VLOOKUP($D25,'2-4'!$D$4:$L$103,6))</f>
        <v>1</v>
      </c>
      <c r="J25" s="226">
        <f>IF($R25=1,,VLOOKUP($D25,'2-4'!$D$4:$L$103,7))</f>
        <v>30116</v>
      </c>
      <c r="K25" s="320" t="str">
        <f t="shared" si="4"/>
        <v>フローリングワイパー60等物品購入【消耗品）</v>
      </c>
      <c r="L25" s="321">
        <f t="shared" si="5"/>
        <v>30116</v>
      </c>
      <c r="M25" s="322">
        <f t="shared" si="6"/>
        <v>1</v>
      </c>
      <c r="N25" s="322">
        <f t="shared" si="7"/>
        <v>1</v>
      </c>
      <c r="O25" s="311">
        <f t="shared" si="10"/>
        <v>30116</v>
      </c>
      <c r="P25" s="382">
        <f>IF($R25=1,"",VLOOKUP($D25,'2-4'!$D$4:$L$103,8))</f>
        <v>0</v>
      </c>
      <c r="Q25" s="281">
        <f>IF($R25=1,"",VLOOKUP($D25,'2-4'!$D$4:$L$103,9))</f>
        <v>0</v>
      </c>
      <c r="R25" s="25">
        <f>IF(AND(ISNA(MATCH($D25,'随時②-2'!$D$4:$D$18,0)),ISNA(MATCH($D25,'随時③-2'!$D$4:$D$18,0))),0,1)</f>
        <v>0</v>
      </c>
      <c r="S25" s="63">
        <f t="shared" si="8"/>
      </c>
      <c r="T25" s="63">
        <f t="shared" si="9"/>
      </c>
    </row>
    <row r="26" spans="1:20" ht="30" customHeight="1">
      <c r="A26" s="379">
        <f>'2-4'!A13</f>
        <v>0</v>
      </c>
      <c r="B26" s="380" t="str">
        <f>'2-4'!B13</f>
        <v>３（３）イ</v>
      </c>
      <c r="C26" s="381" t="str">
        <f>'2-4'!C13</f>
        <v>個別の教育支援計画の充実</v>
      </c>
      <c r="D26" s="256">
        <v>310</v>
      </c>
      <c r="E26" s="317" t="str">
        <f>IF($R26=1,"",VLOOKUP($D26,'2-4'!$D$4:$L$103,2))</f>
        <v>消耗需用費</v>
      </c>
      <c r="F26" s="317" t="str">
        <f>IF($R26=1,"取消し",VLOOKUP($D26,'2-4'!$D$4:$L$103,3))</f>
        <v>新版S-M社会生活能力検査用紙等物品購入【消耗品）</v>
      </c>
      <c r="G26" s="226">
        <f>IF($R26=1,,VLOOKUP($D26,'2-4'!$D$4:$L$103,4))</f>
        <v>64800</v>
      </c>
      <c r="H26" s="318">
        <f>IF($R26=1,,VLOOKUP($D26,'2-4'!$D$4:$L$103,5))</f>
        <v>1</v>
      </c>
      <c r="I26" s="318">
        <f>IF($R26=1,,VLOOKUP($D26,'2-4'!$D$4:$L$103,6))</f>
        <v>1</v>
      </c>
      <c r="J26" s="226">
        <f>IF($R26=1,,VLOOKUP($D26,'2-4'!$D$4:$L$103,7))</f>
        <v>64800</v>
      </c>
      <c r="K26" s="320" t="str">
        <f t="shared" si="4"/>
        <v>新版S-M社会生活能力検査用紙等物品購入【消耗品）</v>
      </c>
      <c r="L26" s="321">
        <f t="shared" si="5"/>
        <v>64800</v>
      </c>
      <c r="M26" s="322">
        <f t="shared" si="6"/>
        <v>1</v>
      </c>
      <c r="N26" s="322">
        <f t="shared" si="7"/>
        <v>1</v>
      </c>
      <c r="O26" s="311">
        <f t="shared" si="10"/>
        <v>64800</v>
      </c>
      <c r="P26" s="382">
        <f>IF($R26=1,"",VLOOKUP($D26,'2-4'!$D$4:$L$103,8))</f>
        <v>0</v>
      </c>
      <c r="Q26" s="281">
        <f>IF($R26=1,"",VLOOKUP($D26,'2-4'!$D$4:$L$103,9))</f>
        <v>0</v>
      </c>
      <c r="R26" s="25">
        <f>IF(AND(ISNA(MATCH($D26,'随時②-2'!$D$4:$D$18,0)),ISNA(MATCH($D26,'随時③-2'!$D$4:$D$18,0))),0,1)</f>
        <v>0</v>
      </c>
      <c r="S26" s="63">
        <f t="shared" si="8"/>
      </c>
      <c r="T26" s="63">
        <f t="shared" si="9"/>
      </c>
    </row>
    <row r="27" spans="1:20" ht="30" customHeight="1">
      <c r="A27" s="379">
        <f>'2-4'!A14</f>
        <v>0</v>
      </c>
      <c r="B27" s="380" t="str">
        <f>'2-4'!B14</f>
        <v>４（１）イ</v>
      </c>
      <c r="C27" s="381" t="str">
        <f>'2-4'!C14</f>
        <v>高床式砂栽培の実践の深化</v>
      </c>
      <c r="D27" s="256">
        <v>311</v>
      </c>
      <c r="E27" s="317" t="str">
        <f>IF($R27=1,"",VLOOKUP($D27,'2-4'!$D$4:$L$103,2))</f>
        <v>消耗需用費</v>
      </c>
      <c r="F27" s="317" t="str">
        <f>IF($R27=1,"取消し",VLOOKUP($D27,'2-4'!$D$4:$L$103,3))</f>
        <v>砂、育苗用シート、ネット等の物品購入【消耗品）</v>
      </c>
      <c r="G27" s="226">
        <f>IF($R27=1,,VLOOKUP($D27,'2-4'!$D$4:$L$103,4))</f>
        <v>101494</v>
      </c>
      <c r="H27" s="318">
        <f>IF($R27=1,,VLOOKUP($D27,'2-4'!$D$4:$L$103,5))</f>
        <v>1</v>
      </c>
      <c r="I27" s="318">
        <f>IF($R27=1,,VLOOKUP($D27,'2-4'!$D$4:$L$103,6))</f>
        <v>1</v>
      </c>
      <c r="J27" s="226">
        <f>IF($R27=1,,VLOOKUP($D27,'2-4'!$D$4:$L$103,7))</f>
        <v>101494</v>
      </c>
      <c r="K27" s="320" t="str">
        <f t="shared" si="4"/>
        <v>砂、育苗用シート、ネット等の物品購入【消耗品）</v>
      </c>
      <c r="L27" s="321">
        <f t="shared" si="5"/>
        <v>101494</v>
      </c>
      <c r="M27" s="322">
        <f t="shared" si="6"/>
        <v>1</v>
      </c>
      <c r="N27" s="322">
        <f t="shared" si="7"/>
        <v>1</v>
      </c>
      <c r="O27" s="311">
        <f t="shared" si="10"/>
        <v>101494</v>
      </c>
      <c r="P27" s="382">
        <f>IF($R27=1,"",VLOOKUP($D27,'2-4'!$D$4:$L$103,8))</f>
        <v>0</v>
      </c>
      <c r="Q27" s="281">
        <f>IF($R27=1,"",VLOOKUP($D27,'2-4'!$D$4:$L$103,9))</f>
        <v>0</v>
      </c>
      <c r="R27" s="25">
        <f>IF(AND(ISNA(MATCH($D27,'随時②-2'!$D$4:$D$18,0)),ISNA(MATCH($D27,'随時③-2'!$D$4:$D$18,0))),0,1)</f>
        <v>0</v>
      </c>
      <c r="S27" s="63">
        <f t="shared" si="8"/>
      </c>
      <c r="T27" s="63">
        <f t="shared" si="9"/>
      </c>
    </row>
    <row r="28" spans="1:20" ht="30" customHeight="1">
      <c r="A28" s="379">
        <f>'2-4'!A15</f>
        <v>0</v>
      </c>
      <c r="B28" s="380" t="str">
        <f>'2-4'!B15</f>
        <v>４（２）エ</v>
      </c>
      <c r="C28" s="381" t="str">
        <f>'2-4'!C15</f>
        <v>進路指導の充実・発展</v>
      </c>
      <c r="D28" s="256">
        <v>312</v>
      </c>
      <c r="E28" s="317" t="str">
        <f>IF($R28=1,"",VLOOKUP($D28,'2-4'!$D$4:$L$103,2))</f>
        <v>消耗需用費</v>
      </c>
      <c r="F28" s="317" t="str">
        <f>IF($R28=1,"取消し",VLOOKUP($D28,'2-4'!$D$4:$L$103,3))</f>
        <v>ｲﾝﾊﾟｸﾄﾄﾞﾗｲﾊﾞｰ補修ｾｯﾄ等の物品購入(消耗品)</v>
      </c>
      <c r="G28" s="226">
        <f>IF($R28=1,,VLOOKUP($D28,'2-4'!$D$4:$L$103,4))</f>
        <v>207119</v>
      </c>
      <c r="H28" s="318">
        <f>IF($R28=1,,VLOOKUP($D28,'2-4'!$D$4:$L$103,5))</f>
        <v>1</v>
      </c>
      <c r="I28" s="318">
        <f>IF($R28=1,,VLOOKUP($D28,'2-4'!$D$4:$L$103,6))</f>
        <v>1</v>
      </c>
      <c r="J28" s="226">
        <f>IF($R28=1,,VLOOKUP($D28,'2-4'!$D$4:$L$103,7))</f>
        <v>207119</v>
      </c>
      <c r="K28" s="320" t="str">
        <f t="shared" si="4"/>
        <v>ｲﾝﾊﾟｸﾄﾄﾞﾗｲﾊﾞｰ補修ｾｯﾄ等の物品購入(消耗品)</v>
      </c>
      <c r="L28" s="321">
        <f t="shared" si="5"/>
        <v>207119</v>
      </c>
      <c r="M28" s="322">
        <f t="shared" si="6"/>
        <v>1</v>
      </c>
      <c r="N28" s="322">
        <f t="shared" si="7"/>
        <v>1</v>
      </c>
      <c r="O28" s="311">
        <f t="shared" si="10"/>
        <v>207119</v>
      </c>
      <c r="P28" s="382">
        <f>IF($R28=1,"",VLOOKUP($D28,'2-4'!$D$4:$L$103,8))</f>
        <v>0</v>
      </c>
      <c r="Q28" s="281">
        <f>IF($R28=1,"",VLOOKUP($D28,'2-4'!$D$4:$L$103,9))</f>
        <v>0</v>
      </c>
      <c r="R28" s="25">
        <f>IF(AND(ISNA(MATCH($D28,'随時②-2'!$D$4:$D$18,0)),ISNA(MATCH($D28,'随時③-2'!$D$4:$D$18,0))),0,1)</f>
        <v>0</v>
      </c>
      <c r="S28" s="63">
        <f t="shared" si="8"/>
      </c>
      <c r="T28" s="63">
        <f t="shared" si="9"/>
      </c>
    </row>
    <row r="29" spans="1:20" ht="30" customHeight="1">
      <c r="A29" s="379">
        <f>'2-4'!A16</f>
        <v>0</v>
      </c>
      <c r="B29" s="380" t="str">
        <f>'2-4'!B16</f>
        <v>５（２）エ</v>
      </c>
      <c r="C29" s="381" t="str">
        <f>'2-4'!C16</f>
        <v>学校間交流の推進</v>
      </c>
      <c r="D29" s="256">
        <v>313</v>
      </c>
      <c r="E29" s="317" t="str">
        <f>IF($R29=1,"",VLOOKUP($D29,'2-4'!$D$4:$L$103,2))</f>
        <v>消耗需用費</v>
      </c>
      <c r="F29" s="317" t="str">
        <f>IF($R29=1,"取消し",VLOOKUP($D29,'2-4'!$D$4:$L$103,3))</f>
        <v>学校ユニフォーム（ｻｯｶｰ等）の物品購入【消耗品）</v>
      </c>
      <c r="G29" s="226">
        <f>IF($R29=1,,VLOOKUP($D29,'2-4'!$D$4:$L$103,4))</f>
        <v>190008</v>
      </c>
      <c r="H29" s="318">
        <f>IF($R29=1,,VLOOKUP($D29,'2-4'!$D$4:$L$103,5))</f>
        <v>1</v>
      </c>
      <c r="I29" s="318">
        <f>IF($R29=1,,VLOOKUP($D29,'2-4'!$D$4:$L$103,6))</f>
        <v>1</v>
      </c>
      <c r="J29" s="226">
        <f>IF($R29=1,,VLOOKUP($D29,'2-4'!$D$4:$L$103,7))</f>
        <v>190008</v>
      </c>
      <c r="K29" s="320" t="str">
        <f t="shared" si="4"/>
        <v>学校ユニフォーム（ｻｯｶｰ等）の物品購入【消耗品）</v>
      </c>
      <c r="L29" s="321">
        <f t="shared" si="5"/>
        <v>190008</v>
      </c>
      <c r="M29" s="322">
        <f t="shared" si="6"/>
        <v>1</v>
      </c>
      <c r="N29" s="322">
        <f t="shared" si="7"/>
        <v>1</v>
      </c>
      <c r="O29" s="311">
        <f t="shared" si="10"/>
        <v>190008</v>
      </c>
      <c r="P29" s="382">
        <f>IF($R29=1,"",VLOOKUP($D29,'2-4'!$D$4:$L$103,8))</f>
        <v>0</v>
      </c>
      <c r="Q29" s="281">
        <f>IF($R29=1,"",VLOOKUP($D29,'2-4'!$D$4:$L$103,9))</f>
        <v>0</v>
      </c>
      <c r="R29" s="25">
        <f>IF(AND(ISNA(MATCH($D29,'随時②-2'!$D$4:$D$18,0)),ISNA(MATCH($D29,'随時③-2'!$D$4:$D$18,0))),0,1)</f>
        <v>0</v>
      </c>
      <c r="S29" s="63">
        <f t="shared" si="8"/>
      </c>
      <c r="T29" s="63">
        <f t="shared" si="9"/>
      </c>
    </row>
    <row r="30" spans="1:20" ht="30" customHeight="1">
      <c r="A30" s="379">
        <f>'2-4'!A17</f>
        <v>0</v>
      </c>
      <c r="B30" s="380" t="str">
        <f>'2-4'!B17</f>
        <v>５（２）オ</v>
      </c>
      <c r="C30" s="381" t="str">
        <f>'2-4'!C17</f>
        <v>ロートギャラリーの実地</v>
      </c>
      <c r="D30" s="256">
        <v>314</v>
      </c>
      <c r="E30" s="317" t="str">
        <f>IF($R30=1,"",VLOOKUP($D30,'2-4'!$D$4:$L$103,2))</f>
        <v>消耗需用費</v>
      </c>
      <c r="F30" s="317" t="str">
        <f>IF($R30=1,"取消し",VLOOKUP($D30,'2-4'!$D$4:$L$103,3))</f>
        <v>屋外用展示フレーム等の物品購入【消耗品）</v>
      </c>
      <c r="G30" s="226">
        <f>IF($R30=1,,VLOOKUP($D30,'2-4'!$D$4:$L$103,4))</f>
        <v>40253</v>
      </c>
      <c r="H30" s="318">
        <f>IF($R30=1,,VLOOKUP($D30,'2-4'!$D$4:$L$103,5))</f>
        <v>1</v>
      </c>
      <c r="I30" s="318">
        <f>IF($R30=1,,VLOOKUP($D30,'2-4'!$D$4:$L$103,6))</f>
        <v>1</v>
      </c>
      <c r="J30" s="226">
        <f>IF($R30=1,,VLOOKUP($D30,'2-4'!$D$4:$L$103,7))</f>
        <v>40253</v>
      </c>
      <c r="K30" s="320" t="str">
        <f t="shared" si="4"/>
        <v>屋外用展示フレーム等の物品購入【消耗品）</v>
      </c>
      <c r="L30" s="321">
        <f t="shared" si="5"/>
        <v>40253</v>
      </c>
      <c r="M30" s="322">
        <f t="shared" si="6"/>
        <v>1</v>
      </c>
      <c r="N30" s="322">
        <f t="shared" si="7"/>
        <v>1</v>
      </c>
      <c r="O30" s="311">
        <f t="shared" si="10"/>
        <v>40253</v>
      </c>
      <c r="P30" s="382">
        <f>IF($R30=1,"",VLOOKUP($D30,'2-4'!$D$4:$L$103,8))</f>
        <v>0</v>
      </c>
      <c r="Q30" s="281">
        <f>IF($R30=1,"",VLOOKUP($D30,'2-4'!$D$4:$L$103,9))</f>
        <v>0</v>
      </c>
      <c r="R30" s="25">
        <f>IF(AND(ISNA(MATCH($D30,'随時②-2'!$D$4:$D$18,0)),ISNA(MATCH($D30,'随時③-2'!$D$4:$D$18,0))),0,1)</f>
        <v>0</v>
      </c>
      <c r="S30" s="63">
        <f t="shared" si="8"/>
      </c>
      <c r="T30" s="63">
        <f t="shared" si="9"/>
      </c>
    </row>
    <row r="31" spans="1:20" ht="30" customHeight="1">
      <c r="A31" s="379">
        <f>'2-4'!A18</f>
        <v>0</v>
      </c>
      <c r="B31" s="380" t="str">
        <f>'2-4'!B18</f>
        <v>３（１）</v>
      </c>
      <c r="C31" s="381" t="str">
        <f>'2-4'!C18</f>
        <v>専門性の向上（人材育成）</v>
      </c>
      <c r="D31" s="256">
        <v>315</v>
      </c>
      <c r="E31" s="317" t="str">
        <f>IF($R31=1,"",VLOOKUP($D31,'2-4'!$D$4:$L$103,2))</f>
        <v>旅費</v>
      </c>
      <c r="F31" s="317" t="str">
        <f>IF($R31=1,"取消し",VLOOKUP($D31,'2-4'!$D$4:$L$103,3))</f>
        <v>全知P連合会創立記念50周年大会</v>
      </c>
      <c r="G31" s="226">
        <f>IF($R31=1,,VLOOKUP($D31,'2-4'!$D$4:$L$103,4))</f>
        <v>37840</v>
      </c>
      <c r="H31" s="318">
        <f>IF($R31=1,,VLOOKUP($D31,'2-4'!$D$4:$L$103,5))</f>
        <v>1</v>
      </c>
      <c r="I31" s="318">
        <f>IF($R31=1,,VLOOKUP($D31,'2-4'!$D$4:$L$103,6))</f>
        <v>1</v>
      </c>
      <c r="J31" s="226">
        <f>IF($R31=1,,VLOOKUP($D31,'2-4'!$D$4:$L$103,7))</f>
        <v>37840</v>
      </c>
      <c r="K31" s="320" t="str">
        <f t="shared" si="4"/>
        <v>全知P連合会創立記念50周年大会</v>
      </c>
      <c r="L31" s="321">
        <f t="shared" si="5"/>
        <v>37840</v>
      </c>
      <c r="M31" s="322">
        <f t="shared" si="6"/>
        <v>1</v>
      </c>
      <c r="N31" s="322">
        <f t="shared" si="7"/>
        <v>1</v>
      </c>
      <c r="O31" s="311">
        <f t="shared" si="10"/>
        <v>37840</v>
      </c>
      <c r="P31" s="382">
        <f>IF($R31=1,"",VLOOKUP($D31,'2-4'!$D$4:$L$103,8))</f>
        <v>0</v>
      </c>
      <c r="Q31" s="281">
        <f>IF($R31=1,"",VLOOKUP($D31,'2-4'!$D$4:$L$103,9))</f>
        <v>0</v>
      </c>
      <c r="R31" s="25">
        <f>IF(AND(ISNA(MATCH($D31,'随時②-2'!$D$4:$D$18,0)),ISNA(MATCH($D31,'随時③-2'!$D$4:$D$18,0))),0,1)</f>
        <v>0</v>
      </c>
      <c r="S31" s="63">
        <f t="shared" si="8"/>
      </c>
      <c r="T31" s="63">
        <f t="shared" si="9"/>
      </c>
    </row>
    <row r="32" spans="1:20" ht="30" customHeight="1">
      <c r="A32" s="379">
        <f>'2-4'!A19</f>
        <v>0</v>
      </c>
      <c r="B32" s="380" t="str">
        <f>'2-4'!B19</f>
        <v>３（１）</v>
      </c>
      <c r="C32" s="381" t="str">
        <f>'2-4'!C19</f>
        <v>専門性の向上（人材育成）</v>
      </c>
      <c r="D32" s="256">
        <v>316</v>
      </c>
      <c r="E32" s="317" t="str">
        <f>IF($R32=1,"",VLOOKUP($D32,'2-4'!$D$4:$L$103,2))</f>
        <v>旅費</v>
      </c>
      <c r="F32" s="317" t="str">
        <f>IF($R32=1,"取消し",VLOOKUP($D32,'2-4'!$D$4:$L$103,3))</f>
        <v>全国特別支援学校知的障害教育教頭会研究会</v>
      </c>
      <c r="G32" s="226">
        <f>IF($R32=1,,VLOOKUP($D32,'2-4'!$D$4:$L$103,4))</f>
        <v>0</v>
      </c>
      <c r="H32" s="318">
        <f>IF($R32=1,,VLOOKUP($D32,'2-4'!$D$4:$L$103,5))</f>
        <v>0</v>
      </c>
      <c r="I32" s="318">
        <f>IF($R32=1,,VLOOKUP($D32,'2-4'!$D$4:$L$103,6))</f>
        <v>0</v>
      </c>
      <c r="J32" s="226">
        <f>IF($R32=1,,VLOOKUP($D32,'2-4'!$D$4:$L$103,7))</f>
        <v>0</v>
      </c>
      <c r="K32" s="320" t="str">
        <f t="shared" si="4"/>
        <v>全国特別支援学校知的障害教育教頭会研究会</v>
      </c>
      <c r="L32" s="321">
        <f t="shared" si="5"/>
        <v>0</v>
      </c>
      <c r="M32" s="322">
        <f t="shared" si="6"/>
        <v>0</v>
      </c>
      <c r="N32" s="322">
        <f t="shared" si="7"/>
        <v>0</v>
      </c>
      <c r="O32" s="311">
        <f t="shared" si="10"/>
        <v>0</v>
      </c>
      <c r="P32" s="382">
        <f>IF($R32=1,"",VLOOKUP($D32,'2-4'!$D$4:$L$103,8))</f>
        <v>0</v>
      </c>
      <c r="Q32" s="281">
        <f>IF($R32=1,"",VLOOKUP($D32,'2-4'!$D$4:$L$103,9))</f>
        <v>0</v>
      </c>
      <c r="R32" s="25">
        <f>IF(AND(ISNA(MATCH($D32,'随時②-2'!$D$4:$D$18,0)),ISNA(MATCH($D32,'随時③-2'!$D$4:$D$18,0))),0,1)</f>
        <v>0</v>
      </c>
      <c r="S32" s="63">
        <f t="shared" si="8"/>
      </c>
      <c r="T32" s="63">
        <f t="shared" si="9"/>
      </c>
    </row>
    <row r="33" spans="1:20" ht="30" customHeight="1">
      <c r="A33" s="379">
        <f>'2-4'!A20</f>
        <v>0</v>
      </c>
      <c r="B33" s="380" t="str">
        <f>'2-4'!B20</f>
        <v>３（１）</v>
      </c>
      <c r="C33" s="381" t="str">
        <f>'2-4'!C20</f>
        <v>専門性の向上（人材育成）</v>
      </c>
      <c r="D33" s="256">
        <v>317</v>
      </c>
      <c r="E33" s="317" t="str">
        <f>IF($R33=1,"",VLOOKUP($D33,'2-4'!$D$4:$L$103,2))</f>
        <v>報償費</v>
      </c>
      <c r="F33" s="317" t="str">
        <f>IF($R33=1,"取消し",VLOOKUP($D33,'2-4'!$D$4:$L$103,3))</f>
        <v>性教育研修</v>
      </c>
      <c r="G33" s="226">
        <f>IF($R33=1,,VLOOKUP($D33,'2-4'!$D$4:$L$103,4))</f>
        <v>20000</v>
      </c>
      <c r="H33" s="318">
        <f>IF($R33=1,,VLOOKUP($D33,'2-4'!$D$4:$L$103,5))</f>
        <v>1</v>
      </c>
      <c r="I33" s="318">
        <f>IF($R33=1,,VLOOKUP($D33,'2-4'!$D$4:$L$103,6))</f>
        <v>1</v>
      </c>
      <c r="J33" s="226">
        <f>IF($R33=1,,VLOOKUP($D33,'2-4'!$D$4:$L$103,7))</f>
        <v>20000</v>
      </c>
      <c r="K33" s="320" t="str">
        <f t="shared" si="4"/>
        <v>性教育研修</v>
      </c>
      <c r="L33" s="321">
        <f t="shared" si="5"/>
        <v>20000</v>
      </c>
      <c r="M33" s="322">
        <f t="shared" si="6"/>
        <v>1</v>
      </c>
      <c r="N33" s="322">
        <f t="shared" si="7"/>
        <v>1</v>
      </c>
      <c r="O33" s="311">
        <f t="shared" si="10"/>
        <v>20000</v>
      </c>
      <c r="P33" s="382">
        <f>IF($R33=1,"",VLOOKUP($D33,'2-4'!$D$4:$L$103,8))</f>
        <v>0</v>
      </c>
      <c r="Q33" s="281">
        <f>IF($R33=1,"",VLOOKUP($D33,'2-4'!$D$4:$L$103,9))</f>
        <v>0</v>
      </c>
      <c r="R33" s="25">
        <f>IF(AND(ISNA(MATCH($D33,'随時②-2'!$D$4:$D$18,0)),ISNA(MATCH($D33,'随時③-2'!$D$4:$D$18,0))),0,1)</f>
        <v>0</v>
      </c>
      <c r="S33" s="63">
        <f t="shared" si="8"/>
      </c>
      <c r="T33" s="63">
        <f t="shared" si="9"/>
      </c>
    </row>
    <row r="34" spans="1:20" ht="30" customHeight="1">
      <c r="A34" s="379">
        <f>'2-4'!A21</f>
        <v>0</v>
      </c>
      <c r="B34" s="380" t="str">
        <f>'2-4'!B21</f>
        <v>３（１）</v>
      </c>
      <c r="C34" s="381" t="str">
        <f>'2-4'!C21</f>
        <v>専門性の向上（人材育成）</v>
      </c>
      <c r="D34" s="256">
        <v>318</v>
      </c>
      <c r="E34" s="317" t="str">
        <f>IF($R34=1,"",VLOOKUP($D34,'2-4'!$D$4:$L$103,2))</f>
        <v>報償費</v>
      </c>
      <c r="F34" s="317" t="str">
        <f>IF($R34=1,"取消し",VLOOKUP($D34,'2-4'!$D$4:$L$103,3))</f>
        <v>ビジネスマナー研修</v>
      </c>
      <c r="G34" s="226">
        <f>IF($R34=1,,VLOOKUP($D34,'2-4'!$D$4:$L$103,4))</f>
        <v>10000</v>
      </c>
      <c r="H34" s="318">
        <f>IF($R34=1,,VLOOKUP($D34,'2-4'!$D$4:$L$103,5))</f>
        <v>1</v>
      </c>
      <c r="I34" s="318">
        <f>IF($R34=1,,VLOOKUP($D34,'2-4'!$D$4:$L$103,6))</f>
        <v>1</v>
      </c>
      <c r="J34" s="226">
        <f>IF($R34=1,,VLOOKUP($D34,'2-4'!$D$4:$L$103,7))</f>
        <v>10000</v>
      </c>
      <c r="K34" s="320" t="str">
        <f t="shared" si="4"/>
        <v>ビジネスマナー研修</v>
      </c>
      <c r="L34" s="321">
        <f t="shared" si="5"/>
        <v>10000</v>
      </c>
      <c r="M34" s="322">
        <f t="shared" si="6"/>
        <v>1</v>
      </c>
      <c r="N34" s="322">
        <f t="shared" si="7"/>
        <v>1</v>
      </c>
      <c r="O34" s="311">
        <f t="shared" si="10"/>
        <v>10000</v>
      </c>
      <c r="P34" s="382">
        <f>IF($R34=1,"",VLOOKUP($D34,'2-4'!$D$4:$L$103,8))</f>
        <v>0</v>
      </c>
      <c r="Q34" s="281">
        <f>IF($R34=1,"",VLOOKUP($D34,'2-4'!$D$4:$L$103,9))</f>
        <v>0</v>
      </c>
      <c r="R34" s="25">
        <f>IF(AND(ISNA(MATCH($D34,'随時②-2'!$D$4:$D$18,0)),ISNA(MATCH($D34,'随時③-2'!$D$4:$D$18,0))),0,1)</f>
        <v>0</v>
      </c>
      <c r="S34" s="63">
        <f t="shared" si="8"/>
      </c>
      <c r="T34" s="63">
        <f t="shared" si="9"/>
      </c>
    </row>
    <row r="35" spans="1:20" ht="30" customHeight="1">
      <c r="A35" s="379">
        <f>'2-4'!A22</f>
        <v>0</v>
      </c>
      <c r="B35" s="380" t="str">
        <f>'2-4'!B22</f>
        <v>３（１）</v>
      </c>
      <c r="C35" s="381" t="str">
        <f>'2-4'!C22</f>
        <v>専門性の向上（人材育成）</v>
      </c>
      <c r="D35" s="256">
        <v>319</v>
      </c>
      <c r="E35" s="317" t="str">
        <f>IF($R35=1,"",VLOOKUP($D35,'2-4'!$D$4:$L$103,2))</f>
        <v>報償費</v>
      </c>
      <c r="F35" s="317" t="str">
        <f>IF($R35=1,"取消し",VLOOKUP($D35,'2-4'!$D$4:$L$103,3))</f>
        <v>キャリア教育研修</v>
      </c>
      <c r="G35" s="226">
        <f>IF($R35=1,,VLOOKUP($D35,'2-4'!$D$4:$L$103,4))</f>
        <v>0</v>
      </c>
      <c r="H35" s="318">
        <f>IF($R35=1,,VLOOKUP($D35,'2-4'!$D$4:$L$103,5))</f>
        <v>0</v>
      </c>
      <c r="I35" s="318">
        <f>IF($R35=1,,VLOOKUP($D35,'2-4'!$D$4:$L$103,6))</f>
        <v>0</v>
      </c>
      <c r="J35" s="226">
        <f>IF($R35=1,,VLOOKUP($D35,'2-4'!$D$4:$L$103,7))</f>
        <v>0</v>
      </c>
      <c r="K35" s="320" t="str">
        <f t="shared" si="4"/>
        <v>キャリア教育研修</v>
      </c>
      <c r="L35" s="321">
        <f t="shared" si="5"/>
        <v>0</v>
      </c>
      <c r="M35" s="322">
        <f t="shared" si="6"/>
        <v>0</v>
      </c>
      <c r="N35" s="322">
        <f t="shared" si="7"/>
        <v>0</v>
      </c>
      <c r="O35" s="311">
        <f t="shared" si="10"/>
        <v>0</v>
      </c>
      <c r="P35" s="382">
        <f>IF($R35=1,"",VLOOKUP($D35,'2-4'!$D$4:$L$103,8))</f>
        <v>0</v>
      </c>
      <c r="Q35" s="281">
        <f>IF($R35=1,"",VLOOKUP($D35,'2-4'!$D$4:$L$103,9))</f>
        <v>0</v>
      </c>
      <c r="R35" s="25">
        <f>IF(AND(ISNA(MATCH($D35,'随時②-2'!$D$4:$D$18,0)),ISNA(MATCH($D35,'随時③-2'!$D$4:$D$18,0))),0,1)</f>
        <v>0</v>
      </c>
      <c r="S35" s="63">
        <f t="shared" si="8"/>
      </c>
      <c r="T35" s="63">
        <f t="shared" si="9"/>
      </c>
    </row>
    <row r="36" spans="1:20" ht="30" customHeight="1">
      <c r="A36" s="379">
        <f>'2-4'!A23</f>
        <v>0</v>
      </c>
      <c r="B36" s="380" t="str">
        <f>'2-4'!B23</f>
        <v>３（１）</v>
      </c>
      <c r="C36" s="381" t="str">
        <f>'2-4'!C23</f>
        <v>専門性の向上（人材育成）</v>
      </c>
      <c r="D36" s="256">
        <v>320</v>
      </c>
      <c r="E36" s="317" t="str">
        <f>IF($R36=1,"",VLOOKUP($D36,'2-4'!$D$4:$L$103,2))</f>
        <v>報償費</v>
      </c>
      <c r="F36" s="317" t="str">
        <f>IF($R36=1,"取消し",VLOOKUP($D36,'2-4'!$D$4:$L$103,3))</f>
        <v>初任教諭研授業への助言指導</v>
      </c>
      <c r="G36" s="226">
        <f>IF($R36=1,,VLOOKUP($D36,'2-4'!$D$4:$L$103,4))</f>
        <v>5000</v>
      </c>
      <c r="H36" s="318">
        <f>IF($R36=1,,VLOOKUP($D36,'2-4'!$D$4:$L$103,5))</f>
        <v>15</v>
      </c>
      <c r="I36" s="318">
        <f>IF($R36=1,,VLOOKUP($D36,'2-4'!$D$4:$L$103,6))</f>
        <v>1</v>
      </c>
      <c r="J36" s="226">
        <f>IF($R36=1,,VLOOKUP($D36,'2-4'!$D$4:$L$103,7))</f>
        <v>75000</v>
      </c>
      <c r="K36" s="320" t="str">
        <f t="shared" si="4"/>
        <v>初任教諭研授業への助言指導</v>
      </c>
      <c r="L36" s="321">
        <f t="shared" si="5"/>
        <v>5000</v>
      </c>
      <c r="M36" s="322">
        <f t="shared" si="6"/>
        <v>15</v>
      </c>
      <c r="N36" s="322">
        <f t="shared" si="7"/>
        <v>1</v>
      </c>
      <c r="O36" s="311">
        <f t="shared" si="10"/>
        <v>75000</v>
      </c>
      <c r="P36" s="382">
        <f>IF($R36=1,"",VLOOKUP($D36,'2-4'!$D$4:$L$103,8))</f>
        <v>0</v>
      </c>
      <c r="Q36" s="281">
        <f>IF($R36=1,"",VLOOKUP($D36,'2-4'!$D$4:$L$103,9))</f>
        <v>0</v>
      </c>
      <c r="R36" s="25">
        <f>IF(AND(ISNA(MATCH($D36,'随時②-2'!$D$4:$D$18,0)),ISNA(MATCH($D36,'随時③-2'!$D$4:$D$18,0))),0,1)</f>
        <v>0</v>
      </c>
      <c r="S36" s="63">
        <f t="shared" si="8"/>
      </c>
      <c r="T36" s="63">
        <f t="shared" si="9"/>
      </c>
    </row>
    <row r="37" spans="1:20" ht="30" customHeight="1">
      <c r="A37" s="379">
        <f>'2-4'!A24</f>
        <v>0</v>
      </c>
      <c r="B37" s="380" t="str">
        <f>'2-4'!B24</f>
        <v>３（１）</v>
      </c>
      <c r="C37" s="381" t="str">
        <f>'2-4'!C24</f>
        <v>専門性の向上（人材育成）</v>
      </c>
      <c r="D37" s="256">
        <v>321</v>
      </c>
      <c r="E37" s="317" t="str">
        <f>IF($R37=1,"",VLOOKUP($D37,'2-4'!$D$4:$L$103,2))</f>
        <v>旅費</v>
      </c>
      <c r="F37" s="317" t="str">
        <f>IF($R37=1,"取消し",VLOOKUP($D37,'2-4'!$D$4:$L$103,3))</f>
        <v>研究集会参加</v>
      </c>
      <c r="G37" s="226">
        <f>IF($R37=1,,VLOOKUP($D37,'2-4'!$D$4:$L$103,4))</f>
        <v>38000</v>
      </c>
      <c r="H37" s="318">
        <f>IF($R37=1,,VLOOKUP($D37,'2-4'!$D$4:$L$103,5))</f>
        <v>1</v>
      </c>
      <c r="I37" s="318">
        <f>IF($R37=1,,VLOOKUP($D37,'2-4'!$D$4:$L$103,6))</f>
        <v>1</v>
      </c>
      <c r="J37" s="226">
        <f>IF($R37=1,,VLOOKUP($D37,'2-4'!$D$4:$L$103,7))</f>
        <v>38000</v>
      </c>
      <c r="K37" s="320" t="str">
        <f t="shared" si="4"/>
        <v>研究集会参加</v>
      </c>
      <c r="L37" s="321">
        <f t="shared" si="5"/>
        <v>38000</v>
      </c>
      <c r="M37" s="322">
        <f t="shared" si="6"/>
        <v>1</v>
      </c>
      <c r="N37" s="322">
        <f t="shared" si="7"/>
        <v>1</v>
      </c>
      <c r="O37" s="311">
        <f t="shared" si="10"/>
        <v>38000</v>
      </c>
      <c r="P37" s="382">
        <f>IF($R37=1,"",VLOOKUP($D37,'2-4'!$D$4:$L$103,8))</f>
        <v>0</v>
      </c>
      <c r="Q37" s="281">
        <f>IF($R37=1,"",VLOOKUP($D37,'2-4'!$D$4:$L$103,9))</f>
        <v>0</v>
      </c>
      <c r="R37" s="25">
        <f>IF(AND(ISNA(MATCH($D37,'随時②-2'!$D$4:$D$18,0)),ISNA(MATCH($D37,'随時③-2'!$D$4:$D$18,0))),0,1)</f>
        <v>0</v>
      </c>
      <c r="S37" s="63">
        <f t="shared" si="8"/>
      </c>
      <c r="T37" s="63">
        <f t="shared" si="9"/>
      </c>
    </row>
    <row r="38" spans="1:20" ht="30" customHeight="1">
      <c r="A38" s="379">
        <f>'2-4'!A25</f>
        <v>0</v>
      </c>
      <c r="B38" s="380" t="str">
        <f>'2-4'!B25</f>
        <v>３（１）</v>
      </c>
      <c r="C38" s="381" t="str">
        <f>'2-4'!C25</f>
        <v>専門性の向上（人材育成）</v>
      </c>
      <c r="D38" s="256">
        <v>322</v>
      </c>
      <c r="E38" s="317" t="str">
        <f>IF($R38=1,"",VLOOKUP($D38,'2-4'!$D$4:$L$103,2))</f>
        <v>負担金、補助及び交付金</v>
      </c>
      <c r="F38" s="317" t="str">
        <f>IF($R38=1,"取消し",VLOOKUP($D38,'2-4'!$D$4:$L$103,3))</f>
        <v>第162回国治研セミナー負担金</v>
      </c>
      <c r="G38" s="226">
        <f>IF($R38=1,,VLOOKUP($D38,'2-4'!$D$4:$L$103,4))</f>
        <v>0</v>
      </c>
      <c r="H38" s="318">
        <f>IF($R38=1,,VLOOKUP($D38,'2-4'!$D$4:$L$103,5))</f>
        <v>0</v>
      </c>
      <c r="I38" s="318">
        <f>IF($R38=1,,VLOOKUP($D38,'2-4'!$D$4:$L$103,6))</f>
        <v>0</v>
      </c>
      <c r="J38" s="226">
        <f>IF($R38=1,,VLOOKUP($D38,'2-4'!$D$4:$L$103,7))</f>
        <v>0</v>
      </c>
      <c r="K38" s="320" t="str">
        <f t="shared" si="4"/>
        <v>第162回国治研セミナー負担金</v>
      </c>
      <c r="L38" s="321">
        <f t="shared" si="5"/>
        <v>0</v>
      </c>
      <c r="M38" s="322">
        <f t="shared" si="6"/>
        <v>0</v>
      </c>
      <c r="N38" s="322">
        <f t="shared" si="7"/>
        <v>0</v>
      </c>
      <c r="O38" s="311">
        <f t="shared" si="10"/>
        <v>0</v>
      </c>
      <c r="P38" s="382">
        <f>IF($R38=1,"",VLOOKUP($D38,'2-4'!$D$4:$L$103,8))</f>
        <v>0</v>
      </c>
      <c r="Q38" s="281">
        <f>IF($R38=1,"",VLOOKUP($D38,'2-4'!$D$4:$L$103,9))</f>
        <v>0</v>
      </c>
      <c r="R38" s="25">
        <f>IF(AND(ISNA(MATCH($D38,'随時②-2'!$D$4:$D$18,0)),ISNA(MATCH($D38,'随時③-2'!$D$4:$D$18,0))),0,1)</f>
        <v>0</v>
      </c>
      <c r="S38" s="63">
        <f t="shared" si="8"/>
      </c>
      <c r="T38" s="63">
        <f t="shared" si="9"/>
      </c>
    </row>
    <row r="39" spans="1:20" ht="30" customHeight="1">
      <c r="A39" s="379">
        <f>'2-4'!A26</f>
        <v>0</v>
      </c>
      <c r="B39" s="380" t="str">
        <f>'2-4'!B26</f>
        <v>３（１）</v>
      </c>
      <c r="C39" s="381" t="str">
        <f>'2-4'!C26</f>
        <v>専門性の向上（人材育成）</v>
      </c>
      <c r="D39" s="256">
        <v>323</v>
      </c>
      <c r="E39" s="317" t="str">
        <f>IF($R39=1,"",VLOOKUP($D39,'2-4'!$D$4:$L$103,2))</f>
        <v>負担金、補助及び交付金</v>
      </c>
      <c r="F39" s="317" t="str">
        <f>IF($R39=1,"取消し",VLOOKUP($D39,'2-4'!$D$4:$L$103,3))</f>
        <v>（公社）発達協会「実践セミナー」負担金</v>
      </c>
      <c r="G39" s="226">
        <f>IF($R39=1,,VLOOKUP($D39,'2-4'!$D$4:$L$103,4))</f>
        <v>0</v>
      </c>
      <c r="H39" s="318">
        <f>IF($R39=1,,VLOOKUP($D39,'2-4'!$D$4:$L$103,5))</f>
        <v>0</v>
      </c>
      <c r="I39" s="318">
        <f>IF($R39=1,,VLOOKUP($D39,'2-4'!$D$4:$L$103,6))</f>
        <v>0</v>
      </c>
      <c r="J39" s="226">
        <f>IF($R39=1,,VLOOKUP($D39,'2-4'!$D$4:$L$103,7))</f>
        <v>0</v>
      </c>
      <c r="K39" s="320" t="str">
        <f t="shared" si="4"/>
        <v>（公社）発達協会「実践セミナー」負担金</v>
      </c>
      <c r="L39" s="321">
        <f t="shared" si="5"/>
        <v>0</v>
      </c>
      <c r="M39" s="322">
        <f t="shared" si="6"/>
        <v>0</v>
      </c>
      <c r="N39" s="322">
        <f t="shared" si="7"/>
        <v>0</v>
      </c>
      <c r="O39" s="311">
        <f t="shared" si="10"/>
        <v>0</v>
      </c>
      <c r="P39" s="382">
        <f>IF($R39=1,"",VLOOKUP($D39,'2-4'!$D$4:$L$103,8))</f>
        <v>0</v>
      </c>
      <c r="Q39" s="281">
        <f>IF($R39=1,"",VLOOKUP($D39,'2-4'!$D$4:$L$103,9))</f>
        <v>0</v>
      </c>
      <c r="R39" s="25">
        <f>IF(AND(ISNA(MATCH($D39,'随時②-2'!$D$4:$D$18,0)),ISNA(MATCH($D39,'随時③-2'!$D$4:$D$18,0))),0,1)</f>
        <v>0</v>
      </c>
      <c r="S39" s="63">
        <f t="shared" si="8"/>
      </c>
      <c r="T39" s="63">
        <f t="shared" si="9"/>
      </c>
    </row>
    <row r="40" spans="1:20" ht="30" customHeight="1">
      <c r="A40" s="379">
        <f>'2-4'!A27</f>
        <v>0</v>
      </c>
      <c r="B40" s="380" t="str">
        <f>'2-4'!B27</f>
        <v>３（１）</v>
      </c>
      <c r="C40" s="381" t="str">
        <f>'2-4'!C27</f>
        <v>専門性の向上（人材育成）</v>
      </c>
      <c r="D40" s="256">
        <v>324</v>
      </c>
      <c r="E40" s="317" t="str">
        <f>IF($R40=1,"",VLOOKUP($D40,'2-4'!$D$4:$L$103,2))</f>
        <v>消耗需用費</v>
      </c>
      <c r="F40" s="317" t="str">
        <f>IF($R40=1,"取消し",VLOOKUP($D40,'2-4'!$D$4:$L$103,3))</f>
        <v>各セミナー、研究集会等資料代</v>
      </c>
      <c r="G40" s="226">
        <f>IF($R40=1,,VLOOKUP($D40,'2-4'!$D$4:$L$103,4))</f>
        <v>3000</v>
      </c>
      <c r="H40" s="318">
        <f>IF($R40=1,,VLOOKUP($D40,'2-4'!$D$4:$L$103,5))</f>
        <v>1</v>
      </c>
      <c r="I40" s="318">
        <f>IF($R40=1,,VLOOKUP($D40,'2-4'!$D$4:$L$103,6))</f>
        <v>1</v>
      </c>
      <c r="J40" s="226">
        <f>IF($R40=1,,VLOOKUP($D40,'2-4'!$D$4:$L$103,7))</f>
        <v>3000</v>
      </c>
      <c r="K40" s="320" t="str">
        <f t="shared" si="4"/>
        <v>各セミナー、研究集会等資料代</v>
      </c>
      <c r="L40" s="321">
        <f t="shared" si="5"/>
        <v>3000</v>
      </c>
      <c r="M40" s="322">
        <f t="shared" si="6"/>
        <v>1</v>
      </c>
      <c r="N40" s="322">
        <f t="shared" si="7"/>
        <v>1</v>
      </c>
      <c r="O40" s="311">
        <f t="shared" si="10"/>
        <v>3000</v>
      </c>
      <c r="P40" s="382">
        <f>IF($R40=1,"",VLOOKUP($D40,'2-4'!$D$4:$L$103,8))</f>
        <v>0</v>
      </c>
      <c r="Q40" s="281">
        <f>IF($R40=1,"",VLOOKUP($D40,'2-4'!$D$4:$L$103,9))</f>
        <v>0</v>
      </c>
      <c r="R40" s="25">
        <f>IF(AND(ISNA(MATCH($D40,'随時②-2'!$D$4:$D$18,0)),ISNA(MATCH($D40,'随時③-2'!$D$4:$D$18,0))),0,1)</f>
        <v>0</v>
      </c>
      <c r="S40" s="63">
        <f t="shared" si="8"/>
      </c>
      <c r="T40" s="63">
        <f t="shared" si="9"/>
      </c>
    </row>
    <row r="41" spans="1:20" ht="30" customHeight="1">
      <c r="A41" s="379">
        <f>'2-4'!A28</f>
        <v>0</v>
      </c>
      <c r="B41" s="380" t="str">
        <f>'2-4'!B28</f>
        <v>３（１）</v>
      </c>
      <c r="C41" s="381" t="str">
        <f>'2-4'!C28</f>
        <v>専門性の向上（人材育成）</v>
      </c>
      <c r="D41" s="256">
        <v>325</v>
      </c>
      <c r="E41" s="317" t="str">
        <f>IF($R41=1,"",VLOOKUP($D41,'2-4'!$D$4:$L$103,2))</f>
        <v>旅費</v>
      </c>
      <c r="F41" s="317" t="str">
        <f>IF($R41=1,"取消し",VLOOKUP($D41,'2-4'!$D$4:$L$103,3))</f>
        <v>キャリア教育研修</v>
      </c>
      <c r="G41" s="226">
        <f>IF($R41=1,,VLOOKUP($D41,'2-4'!$D$4:$L$103,4))</f>
        <v>27280</v>
      </c>
      <c r="H41" s="318">
        <f>IF($R41=1,,VLOOKUP($D41,'2-4'!$D$4:$L$103,5))</f>
        <v>1</v>
      </c>
      <c r="I41" s="318">
        <f>IF($R41=1,,VLOOKUP($D41,'2-4'!$D$4:$L$103,6))</f>
        <v>1</v>
      </c>
      <c r="J41" s="226">
        <f>IF($R41=1,,VLOOKUP($D41,'2-4'!$D$4:$L$103,7))</f>
        <v>27280</v>
      </c>
      <c r="K41" s="320" t="str">
        <f t="shared" si="4"/>
        <v>キャリア教育研修</v>
      </c>
      <c r="L41" s="321">
        <f t="shared" si="5"/>
        <v>27280</v>
      </c>
      <c r="M41" s="322">
        <f t="shared" si="6"/>
        <v>1</v>
      </c>
      <c r="N41" s="322">
        <f t="shared" si="7"/>
        <v>1</v>
      </c>
      <c r="O41" s="311">
        <f t="shared" si="10"/>
        <v>27280</v>
      </c>
      <c r="P41" s="382">
        <f>IF($R41=1,"",VLOOKUP($D41,'2-4'!$D$4:$L$103,8))</f>
        <v>0</v>
      </c>
      <c r="Q41" s="281">
        <f>IF($R41=1,"",VLOOKUP($D41,'2-4'!$D$4:$L$103,9))</f>
        <v>0</v>
      </c>
      <c r="R41" s="25">
        <f>IF(AND(ISNA(MATCH($D41,'随時②-2'!$D$4:$D$18,0)),ISNA(MATCH($D41,'随時③-2'!$D$4:$D$18,0))),0,1)</f>
        <v>0</v>
      </c>
      <c r="S41" s="63">
        <f t="shared" si="8"/>
      </c>
      <c r="T41" s="63">
        <f t="shared" si="9"/>
      </c>
    </row>
    <row r="42" spans="1:20" ht="30" customHeight="1" thickBot="1">
      <c r="A42" s="379">
        <f>'2-4'!A29</f>
        <v>0</v>
      </c>
      <c r="B42" s="380" t="str">
        <f>'2-4'!B29</f>
        <v>３（１）</v>
      </c>
      <c r="C42" s="381" t="str">
        <f>'2-4'!C29</f>
        <v>専門性の向上（人材育成）</v>
      </c>
      <c r="D42" s="256">
        <v>326</v>
      </c>
      <c r="E42" s="317" t="str">
        <f>IF($R42=1,"",VLOOKUP($D42,'2-4'!$D$4:$L$103,2))</f>
        <v>負担金、補助及び交付金</v>
      </c>
      <c r="F42" s="317" t="str">
        <f>IF($R42=1,"取消し",VLOOKUP($D42,'2-4'!$D$4:$L$103,3))</f>
        <v>各セミナー、研究集会等負担金</v>
      </c>
      <c r="G42" s="226">
        <f>IF($R42=1,,VLOOKUP($D42,'2-4'!$D$4:$L$103,4))</f>
        <v>9000</v>
      </c>
      <c r="H42" s="318">
        <f>IF($R42=1,,VLOOKUP($D42,'2-4'!$D$4:$L$103,5))</f>
        <v>1</v>
      </c>
      <c r="I42" s="318">
        <f>IF($R42=1,,VLOOKUP($D42,'2-4'!$D$4:$L$103,6))</f>
        <v>1</v>
      </c>
      <c r="J42" s="226">
        <f>IF($R42=1,,VLOOKUP($D42,'2-4'!$D$4:$L$103,7))</f>
        <v>9000</v>
      </c>
      <c r="K42" s="320" t="str">
        <f t="shared" si="4"/>
        <v>各セミナー、研究集会等負担金</v>
      </c>
      <c r="L42" s="321">
        <f t="shared" si="5"/>
        <v>9000</v>
      </c>
      <c r="M42" s="322">
        <f t="shared" si="6"/>
        <v>1</v>
      </c>
      <c r="N42" s="322">
        <f t="shared" si="7"/>
        <v>1</v>
      </c>
      <c r="O42" s="311">
        <f t="shared" si="10"/>
        <v>9000</v>
      </c>
      <c r="P42" s="382">
        <f>IF($R42=1,"",VLOOKUP($D42,'2-4'!$D$4:$L$103,8))</f>
        <v>0</v>
      </c>
      <c r="Q42" s="281">
        <f>IF($R42=1,"",VLOOKUP($D42,'2-4'!$D$4:$L$103,9))</f>
        <v>0</v>
      </c>
      <c r="R42" s="25">
        <f>IF(AND(ISNA(MATCH($D42,'随時②-2'!$D$4:$D$18,0)),ISNA(MATCH($D42,'随時③-2'!$D$4:$D$18,0))),0,1)</f>
        <v>0</v>
      </c>
      <c r="S42" s="63">
        <f t="shared" si="8"/>
      </c>
      <c r="T42" s="63">
        <f t="shared" si="9"/>
      </c>
    </row>
    <row r="43" spans="1:17" ht="13.5">
      <c r="A43" s="51"/>
      <c r="B43" s="51"/>
      <c r="C43" s="51"/>
      <c r="D43" s="73"/>
      <c r="E43" s="64"/>
      <c r="F43" s="64"/>
      <c r="G43" s="49"/>
      <c r="H43" s="65"/>
      <c r="I43" s="65"/>
      <c r="J43" s="52">
        <f>G43*H43*I43</f>
        <v>0</v>
      </c>
      <c r="K43" s="64"/>
      <c r="L43" s="36"/>
      <c r="M43" s="68"/>
      <c r="N43" s="68"/>
      <c r="O43" s="36"/>
      <c r="P43" s="37"/>
      <c r="Q43" s="69"/>
    </row>
    <row r="44" spans="6:10" ht="24" customHeight="1" thickBot="1">
      <c r="F44" s="28"/>
      <c r="G44" s="28"/>
      <c r="I44" s="538" t="s">
        <v>15</v>
      </c>
      <c r="J44" s="538"/>
    </row>
    <row r="45" spans="4:15" ht="24" customHeight="1" thickBot="1">
      <c r="D45" s="5"/>
      <c r="F45" s="24"/>
      <c r="G45" s="24"/>
      <c r="I45" s="552" t="s">
        <v>96</v>
      </c>
      <c r="J45" s="553"/>
      <c r="K45" s="38" t="s">
        <v>191</v>
      </c>
      <c r="L45" s="539" t="s">
        <v>176</v>
      </c>
      <c r="M45" s="540"/>
      <c r="N45" s="541" t="s">
        <v>192</v>
      </c>
      <c r="O45" s="542"/>
    </row>
    <row r="46" spans="4:15" ht="14.25" thickTop="1">
      <c r="D46" s="5"/>
      <c r="I46" s="554" t="s">
        <v>85</v>
      </c>
      <c r="J46" s="555"/>
      <c r="K46" s="350">
        <f aca="true" t="shared" si="11" ref="K46:K54">SUMIF($E$4:$E$42,$I46,$O$4:$O$42)</f>
        <v>220000</v>
      </c>
      <c r="L46" s="548">
        <f aca="true" t="shared" si="12" ref="L46:L53">SUMIF($E$4:$E$42,$I46,$T$4:$T$42)</f>
        <v>0</v>
      </c>
      <c r="M46" s="549">
        <f aca="true" t="shared" si="13" ref="M46:M54">SUMIF($E$4:$E$42,$I46,$O$4:$O$42)</f>
        <v>220000</v>
      </c>
      <c r="N46" s="550">
        <f>K46-L46</f>
        <v>220000</v>
      </c>
      <c r="O46" s="551"/>
    </row>
    <row r="47" spans="4:15" ht="13.5">
      <c r="D47" s="5"/>
      <c r="I47" s="520" t="s">
        <v>86</v>
      </c>
      <c r="J47" s="521"/>
      <c r="K47" s="353">
        <f t="shared" si="11"/>
        <v>293070</v>
      </c>
      <c r="L47" s="526">
        <f t="shared" si="12"/>
        <v>0</v>
      </c>
      <c r="M47" s="527">
        <f t="shared" si="13"/>
        <v>293070</v>
      </c>
      <c r="N47" s="528">
        <f aca="true" t="shared" si="14" ref="N47:N54">K47-L47</f>
        <v>293070</v>
      </c>
      <c r="O47" s="529"/>
    </row>
    <row r="48" spans="4:15" ht="13.5">
      <c r="D48" s="5"/>
      <c r="I48" s="520" t="s">
        <v>125</v>
      </c>
      <c r="J48" s="521"/>
      <c r="K48" s="349">
        <f t="shared" si="11"/>
        <v>1509360</v>
      </c>
      <c r="L48" s="526">
        <f t="shared" si="12"/>
        <v>0</v>
      </c>
      <c r="M48" s="527">
        <f t="shared" si="13"/>
        <v>1509360</v>
      </c>
      <c r="N48" s="528">
        <f t="shared" si="14"/>
        <v>1509360</v>
      </c>
      <c r="O48" s="529"/>
    </row>
    <row r="49" spans="4:15" ht="13.5">
      <c r="D49" s="5"/>
      <c r="I49" s="520" t="s">
        <v>126</v>
      </c>
      <c r="J49" s="521"/>
      <c r="K49" s="349">
        <f t="shared" si="11"/>
        <v>0</v>
      </c>
      <c r="L49" s="526">
        <f t="shared" si="12"/>
        <v>0</v>
      </c>
      <c r="M49" s="527">
        <f t="shared" si="13"/>
        <v>0</v>
      </c>
      <c r="N49" s="528">
        <f t="shared" si="14"/>
        <v>0</v>
      </c>
      <c r="O49" s="529"/>
    </row>
    <row r="50" spans="4:15" ht="13.5">
      <c r="D50" s="5"/>
      <c r="I50" s="520" t="s">
        <v>87</v>
      </c>
      <c r="J50" s="521"/>
      <c r="K50" s="349">
        <f t="shared" si="11"/>
        <v>0</v>
      </c>
      <c r="L50" s="526">
        <f t="shared" si="12"/>
        <v>0</v>
      </c>
      <c r="M50" s="527">
        <f t="shared" si="13"/>
        <v>0</v>
      </c>
      <c r="N50" s="528">
        <f t="shared" si="14"/>
        <v>0</v>
      </c>
      <c r="O50" s="529"/>
    </row>
    <row r="51" spans="4:15" ht="13.5">
      <c r="D51" s="5"/>
      <c r="I51" s="520" t="s">
        <v>88</v>
      </c>
      <c r="J51" s="521"/>
      <c r="K51" s="349">
        <f t="shared" si="11"/>
        <v>0</v>
      </c>
      <c r="L51" s="526">
        <f t="shared" si="12"/>
        <v>0</v>
      </c>
      <c r="M51" s="527">
        <f t="shared" si="13"/>
        <v>0</v>
      </c>
      <c r="N51" s="528">
        <f t="shared" si="14"/>
        <v>0</v>
      </c>
      <c r="O51" s="529"/>
    </row>
    <row r="52" spans="4:15" ht="13.5">
      <c r="D52" s="5"/>
      <c r="I52" s="520" t="s">
        <v>89</v>
      </c>
      <c r="J52" s="521"/>
      <c r="K52" s="349">
        <f t="shared" si="11"/>
        <v>0</v>
      </c>
      <c r="L52" s="526">
        <f t="shared" si="12"/>
        <v>0</v>
      </c>
      <c r="M52" s="527">
        <f t="shared" si="13"/>
        <v>0</v>
      </c>
      <c r="N52" s="528">
        <f t="shared" si="14"/>
        <v>0</v>
      </c>
      <c r="O52" s="529"/>
    </row>
    <row r="53" spans="4:15" ht="13.5">
      <c r="D53" s="5"/>
      <c r="I53" s="520" t="s">
        <v>90</v>
      </c>
      <c r="J53" s="521"/>
      <c r="K53" s="349">
        <f t="shared" si="11"/>
        <v>0</v>
      </c>
      <c r="L53" s="526">
        <f t="shared" si="12"/>
        <v>0</v>
      </c>
      <c r="M53" s="527">
        <f t="shared" si="13"/>
        <v>0</v>
      </c>
      <c r="N53" s="528">
        <f t="shared" si="14"/>
        <v>0</v>
      </c>
      <c r="O53" s="529"/>
    </row>
    <row r="54" spans="4:15" ht="14.25" thickBot="1">
      <c r="D54" s="5"/>
      <c r="I54" s="534" t="s">
        <v>138</v>
      </c>
      <c r="J54" s="535"/>
      <c r="K54" s="349">
        <f t="shared" si="11"/>
        <v>113930</v>
      </c>
      <c r="L54" s="530">
        <f>SUMIF($E$4:$E$42,$I54,$T$4:$T$42)+'3-3'!F25</f>
        <v>11000</v>
      </c>
      <c r="M54" s="531">
        <f t="shared" si="13"/>
        <v>113930</v>
      </c>
      <c r="N54" s="532">
        <f t="shared" si="14"/>
        <v>102930</v>
      </c>
      <c r="O54" s="533"/>
    </row>
    <row r="55" spans="4:15" ht="15" thickBot="1" thickTop="1">
      <c r="D55" s="5"/>
      <c r="I55" s="536" t="s">
        <v>15</v>
      </c>
      <c r="J55" s="537"/>
      <c r="K55" s="356">
        <f>SUM(K46:K54)</f>
        <v>2136360</v>
      </c>
      <c r="L55" s="522">
        <f>SUM(L46:L54)</f>
        <v>11000</v>
      </c>
      <c r="M55" s="523"/>
      <c r="N55" s="524">
        <f>SUM(N46:N54)</f>
        <v>2125360</v>
      </c>
      <c r="O55" s="525"/>
    </row>
  </sheetData>
  <sheetProtection formatCells="0" selectLockedCells="1"/>
  <mergeCells count="36">
    <mergeCell ref="I44:J44"/>
    <mergeCell ref="L45:M45"/>
    <mergeCell ref="N45:O45"/>
    <mergeCell ref="K2:O2"/>
    <mergeCell ref="F2:J2"/>
    <mergeCell ref="L46:M46"/>
    <mergeCell ref="N46:O46"/>
    <mergeCell ref="I45:J45"/>
    <mergeCell ref="I46:J46"/>
    <mergeCell ref="L47:M47"/>
    <mergeCell ref="N47:O47"/>
    <mergeCell ref="L48:M48"/>
    <mergeCell ref="N48:O48"/>
    <mergeCell ref="I47:J47"/>
    <mergeCell ref="I48:J48"/>
    <mergeCell ref="L49:M49"/>
    <mergeCell ref="N49:O49"/>
    <mergeCell ref="L50:M50"/>
    <mergeCell ref="N50:O50"/>
    <mergeCell ref="I49:J49"/>
    <mergeCell ref="I50:J50"/>
    <mergeCell ref="L51:M51"/>
    <mergeCell ref="N51:O51"/>
    <mergeCell ref="L52:M52"/>
    <mergeCell ref="N52:O52"/>
    <mergeCell ref="I51:J51"/>
    <mergeCell ref="I52:J52"/>
    <mergeCell ref="I53:J53"/>
    <mergeCell ref="L55:M55"/>
    <mergeCell ref="N55:O55"/>
    <mergeCell ref="L53:M53"/>
    <mergeCell ref="N53:O53"/>
    <mergeCell ref="L54:M54"/>
    <mergeCell ref="N54:O54"/>
    <mergeCell ref="I54:J54"/>
    <mergeCell ref="I55:J55"/>
  </mergeCells>
  <conditionalFormatting sqref="B2:E2 J43 J4:J21">
    <cfRule type="cellIs" priority="32" dxfId="28" operator="equal" stopIfTrue="1">
      <formula>0</formula>
    </cfRule>
  </conditionalFormatting>
  <conditionalFormatting sqref="O4:O21 K22:O43">
    <cfRule type="cellIs" priority="30" dxfId="16" operator="notEqual" stopIfTrue="1">
      <formula>F4</formula>
    </cfRule>
  </conditionalFormatting>
  <dataValidations count="2">
    <dataValidation type="list" allowBlank="1" showInputMessage="1" showErrorMessage="1" sqref="E43 I46:I54">
      <formula1>"報償費,旅費,消耗需用費,維持需用費,役務費,委託料,使用料及び賃借料,備品購入費,負担金、補助及び交付金"</formula1>
    </dataValidation>
    <dataValidation type="list" allowBlank="1" showInputMessage="1" showErrorMessage="1" sqref="P4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H7" sqref="H7:K7"/>
      <selection pane="topRight" activeCell="H7" sqref="H7:K7"/>
      <selection pane="bottomLeft" activeCell="H7" sqref="H7:K7"/>
      <selection pane="bottomRight" activeCell="A23" sqref="A23:IV3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6">
        <f>SUM(E4:E22)</f>
        <v>82890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14</v>
      </c>
      <c r="B5" s="127" t="str">
        <f>IF('1-3'!B17="","",'1-3'!B17)</f>
        <v>全国</v>
      </c>
      <c r="C5" s="127" t="str">
        <f>IF('1-3'!C17="","",'1-3'!C17)</f>
        <v>校長</v>
      </c>
      <c r="D5" s="144" t="str">
        <f>IF('1-3'!D17="","",'1-3'!D17)</f>
        <v>全国特別支援学校長会</v>
      </c>
      <c r="E5" s="211">
        <f>IF('2-3'!H18="",'2-3'!E18,'2-3'!H18)</f>
        <v>8000</v>
      </c>
      <c r="F5" s="83">
        <f>IF('2-3'!I18="",'2-3'!G18,'2-3'!I18)</f>
      </c>
    </row>
    <row r="6" spans="1:6" ht="15" customHeight="1">
      <c r="A6" s="104">
        <v>17</v>
      </c>
      <c r="B6" s="127" t="str">
        <f>IF('1-3'!B20="","",'1-3'!B20)</f>
        <v>全国</v>
      </c>
      <c r="C6" s="127" t="str">
        <f>IF('1-3'!C20="","",'1-3'!C20)</f>
        <v>校長</v>
      </c>
      <c r="D6" s="144" t="str">
        <f>IF('1-3'!D20="","",'1-3'!D20)</f>
        <v>全国特別支援学校知的障害教育校長会（全知長）</v>
      </c>
      <c r="E6" s="211">
        <f>IF('2-3'!H21="",'2-3'!E21,'2-3'!H21)</f>
        <v>15000</v>
      </c>
      <c r="F6" s="83">
        <f>IF('2-3'!I21="",'2-3'!G21,'2-3'!I21)</f>
      </c>
    </row>
    <row r="7" spans="1:6" ht="15" customHeight="1">
      <c r="A7" s="104">
        <v>25</v>
      </c>
      <c r="B7" s="127" t="str">
        <f>IF('1-3'!B28="","",'1-3'!B28)</f>
        <v>全国</v>
      </c>
      <c r="C7" s="127" t="str">
        <f>IF('1-3'!C28="","",'1-3'!C28)</f>
        <v>教頭</v>
      </c>
      <c r="D7" s="144" t="str">
        <f>IF('1-3'!D28="","",'1-3'!D28)</f>
        <v>全国特別支援学校知的障害教育教頭会（全知頭）</v>
      </c>
      <c r="E7" s="211">
        <f>IF('2-3'!H29="",'2-3'!E29,'2-3'!H29)</f>
        <v>10000</v>
      </c>
      <c r="F7" s="83">
        <f>IF('2-3'!I29="",'2-3'!G29,'2-3'!I29)</f>
      </c>
    </row>
    <row r="8" spans="1:6" ht="15" customHeight="1">
      <c r="A8" s="104">
        <v>28</v>
      </c>
      <c r="B8" s="127" t="str">
        <f>IF('1-3'!B31="","",'1-3'!B31)</f>
        <v>全国</v>
      </c>
      <c r="C8" s="138" t="str">
        <f>IF('1-3'!C31="","",'1-3'!C31)</f>
        <v>事務長</v>
      </c>
      <c r="D8" s="142" t="str">
        <f>IF('1-3'!D31="","",'1-3'!D31)</f>
        <v>全国公立学校事務長会</v>
      </c>
      <c r="E8" s="213">
        <f>IF('2-3'!H32="",'2-3'!E32,'2-3'!H32)</f>
        <v>3000</v>
      </c>
      <c r="F8" s="140" t="str">
        <f>IF('2-3'!I32="",'2-3'!G32,'2-3'!I32)</f>
        <v>◎</v>
      </c>
    </row>
    <row r="9" spans="1:6" ht="15" customHeight="1" thickBot="1">
      <c r="A9" s="108">
        <v>45</v>
      </c>
      <c r="B9" s="129" t="str">
        <f>IF('1-3'!B48="","",'1-3'!B48)</f>
        <v>全国</v>
      </c>
      <c r="C9" s="129">
        <f>IF('1-3'!C48="","",'1-3'!C48)</f>
      </c>
      <c r="D9" s="145" t="str">
        <f>IF('1-3'!D48="","",'1-3'!D48)</f>
        <v>日本教育会</v>
      </c>
      <c r="E9" s="215">
        <f>IF('2-3'!H49="",'2-3'!E49,'2-3'!H49)</f>
        <v>3600</v>
      </c>
      <c r="F9" s="85">
        <f>IF('2-3'!I49="",'2-3'!G49,'2-3'!I49)</f>
      </c>
    </row>
    <row r="10" spans="1:6" ht="15" customHeight="1">
      <c r="A10" s="104">
        <v>52</v>
      </c>
      <c r="B10" s="127" t="str">
        <f>IF('1-3'!B55="","",'1-3'!B55)</f>
        <v>近畿・西日本</v>
      </c>
      <c r="C10" s="127" t="str">
        <f>IF('1-3'!C55="","",'1-3'!C55)</f>
        <v>校長</v>
      </c>
      <c r="D10" s="144" t="str">
        <f>IF('1-3'!D55="","",'1-3'!D55)</f>
        <v>近畿特別支援学校知的障害教育校長会（近知長）</v>
      </c>
      <c r="E10" s="211">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1">
        <f>IF('2-3'!H61="",'2-3'!E61,'2-3'!H61)</f>
        <v>2000</v>
      </c>
      <c r="F11" s="83">
        <f>IF('2-3'!I61="",'2-3'!G61,'2-3'!I61)</f>
      </c>
    </row>
    <row r="12" spans="1:6" ht="15" customHeight="1">
      <c r="A12" s="104">
        <v>60</v>
      </c>
      <c r="B12" s="127" t="str">
        <f>IF('1-3'!B63="","",'1-3'!B63)</f>
        <v>近畿・西日本</v>
      </c>
      <c r="C12" s="173" t="str">
        <f>IF('1-3'!C63="","",'1-3'!C63)</f>
        <v>事務長</v>
      </c>
      <c r="D12" s="181" t="str">
        <f>IF('1-3'!D63="","",'1-3'!D63)</f>
        <v>近畿公立学校事務長会</v>
      </c>
      <c r="E12" s="211">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2">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1">
        <f>IF('2-3'!H75="",'2-3'!E75,'2-3'!H75)</f>
        <v>9000</v>
      </c>
      <c r="F14" s="83">
        <f>IF('2-3'!I75="",'2-3'!G75,'2-3'!I75)</f>
      </c>
    </row>
    <row r="15" spans="1:6" ht="15" customHeight="1">
      <c r="A15" s="104">
        <v>79</v>
      </c>
      <c r="B15" s="127" t="str">
        <f>IF('1-3'!B82="","",'1-3'!B82)</f>
        <v>大阪</v>
      </c>
      <c r="C15" s="178" t="str">
        <f>IF('1-3'!C82="","",'1-3'!C82)</f>
        <v>事務長</v>
      </c>
      <c r="D15" s="182" t="str">
        <f>IF('1-3'!D82="","",'1-3'!D82)</f>
        <v>大阪府立学校事務長会</v>
      </c>
      <c r="E15" s="216">
        <f>IF('2-3'!H83="",'2-3'!E83,'2-3'!H83)</f>
        <v>1000</v>
      </c>
      <c r="F15" s="180">
        <f>IF('2-3'!I83="",'2-3'!G83,'2-3'!I83)</f>
      </c>
    </row>
    <row r="16" spans="1:6" ht="15" customHeight="1">
      <c r="A16" s="104">
        <v>85</v>
      </c>
      <c r="B16" s="127" t="str">
        <f>IF('1-3'!B88="","",'1-3'!B88)</f>
        <v>大阪</v>
      </c>
      <c r="C16" s="127">
        <f>IF('1-3'!C88="","",'1-3'!C88)</f>
      </c>
      <c r="D16" s="144" t="str">
        <f>IF('1-3'!D88="","",'1-3'!D88)</f>
        <v>大阪府高等学校進路指導研究会</v>
      </c>
      <c r="E16" s="211">
        <f>IF('2-3'!H89="",'2-3'!E89,'2-3'!H89)</f>
        <v>1500</v>
      </c>
      <c r="F16" s="83">
        <f>IF('2-3'!I89="",'2-3'!G89,'2-3'!I89)</f>
      </c>
    </row>
    <row r="17" spans="1:6" ht="15" customHeight="1">
      <c r="A17" s="104">
        <v>87</v>
      </c>
      <c r="B17" s="127" t="str">
        <f>IF('1-3'!B90="","",'1-3'!B90)</f>
        <v>大阪</v>
      </c>
      <c r="C17" s="127">
        <f>IF('1-3'!C90="","",'1-3'!C90)</f>
      </c>
      <c r="D17" s="144" t="str">
        <f>IF('1-3'!D90="","",'1-3'!D90)</f>
        <v>大阪府支援教育研究会</v>
      </c>
      <c r="E17" s="211">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1">
        <f>IF('2-3'!H94="",'2-3'!E94,'2-3'!H94)</f>
        <v>1270</v>
      </c>
      <c r="F18" s="83">
        <f>IF('2-3'!I94="",'2-3'!G94,'2-3'!I94)</f>
      </c>
    </row>
    <row r="19" spans="1:6" ht="15" customHeight="1">
      <c r="A19" s="104">
        <v>91</v>
      </c>
      <c r="B19" s="127" t="str">
        <f>IF('1-3'!B94="","",'1-3'!B94)</f>
        <v>大阪</v>
      </c>
      <c r="C19" s="127">
        <f>IF('1-3'!C94="","",'1-3'!C94)</f>
      </c>
      <c r="D19" s="144" t="str">
        <f>IF('1-3'!D94="","",'1-3'!D94)</f>
        <v>大阪府立学校人権教育研究会</v>
      </c>
      <c r="E19" s="211">
        <f>IF('2-3'!H95="",'2-3'!E95,'2-3'!H95)</f>
        <v>2120</v>
      </c>
      <c r="F19" s="83">
        <f>IF('2-3'!I95="",'2-3'!G95,'2-3'!I95)</f>
      </c>
    </row>
    <row r="20" spans="1:6" ht="15" customHeight="1">
      <c r="A20" s="104">
        <v>93</v>
      </c>
      <c r="B20" s="127" t="str">
        <f>IF('1-3'!B96="","",'1-3'!B96)</f>
        <v>大阪</v>
      </c>
      <c r="C20" s="127">
        <f>IF('1-3'!C96="","",'1-3'!C96)</f>
      </c>
      <c r="D20" s="144" t="str">
        <f>IF('1-3'!D96="","",'1-3'!D96)</f>
        <v>大阪府立高等学校保健研究会</v>
      </c>
      <c r="E20" s="211">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1">
        <f>IF('2-3'!H98="",'2-3'!E98,'2-3'!H98)</f>
        <v>5000</v>
      </c>
      <c r="F21" s="83">
        <f>IF('2-3'!I98="",'2-3'!G98,'2-3'!I98)</f>
      </c>
    </row>
    <row r="22" spans="1:6" ht="15" customHeight="1">
      <c r="A22" s="104">
        <v>98</v>
      </c>
      <c r="B22" s="127" t="str">
        <f>IF('1-3'!B101="","",'1-3'!B101)</f>
        <v>大阪</v>
      </c>
      <c r="C22" s="127">
        <f>IF('1-3'!C101="","",'1-3'!C101)</f>
      </c>
      <c r="D22" s="144" t="str">
        <f>IF('1-3'!D101="","",'1-3'!D101)</f>
        <v>大阪府立支援学校栄養教諭研究会</v>
      </c>
      <c r="E22" s="211">
        <f>IF('2-3'!H102="",'2-3'!E102,'2-3'!H102)</f>
        <v>2000</v>
      </c>
      <c r="F22" s="83">
        <f>IF('2-3'!I102="",'2-3'!G102,'2-3'!I102)</f>
      </c>
    </row>
    <row r="23" spans="4:6" ht="15" customHeight="1" thickBot="1">
      <c r="D23" s="80"/>
      <c r="E23" s="80"/>
      <c r="F23" s="81"/>
    </row>
    <row r="24" spans="4:6" ht="15" customHeight="1">
      <c r="D24" s="80"/>
      <c r="E24" s="10" t="s">
        <v>220</v>
      </c>
      <c r="F24" s="183">
        <f>SUM(E4:E22)</f>
        <v>82890</v>
      </c>
    </row>
    <row r="25" spans="4:6" ht="15" customHeight="1">
      <c r="D25" s="80"/>
      <c r="E25" s="39" t="s">
        <v>176</v>
      </c>
      <c r="F25" s="184">
        <f>SUMIF($F$4:$F$22,"◎",$E$4:$E$22)</f>
        <v>11000</v>
      </c>
    </row>
    <row r="26" spans="4:6" ht="15" customHeight="1" thickBot="1">
      <c r="D26" s="80"/>
      <c r="E26" s="82" t="s">
        <v>13</v>
      </c>
      <c r="F26" s="185">
        <f>F24-F25</f>
        <v>71890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D14" sqref="D14:F1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1" t="s">
        <v>300</v>
      </c>
      <c r="I1" s="501"/>
      <c r="J1" s="501"/>
      <c r="K1" s="501"/>
    </row>
    <row r="2" spans="8:11" s="1" customFormat="1" ht="18" customHeight="1">
      <c r="H2" s="501" t="s">
        <v>299</v>
      </c>
      <c r="I2" s="501"/>
      <c r="J2" s="501"/>
      <c r="K2" s="501"/>
    </row>
    <row r="3" s="1" customFormat="1" ht="18" customHeight="1">
      <c r="K3" s="2"/>
    </row>
    <row r="4" spans="8:11" s="1" customFormat="1" ht="18" customHeight="1">
      <c r="H4" s="502" t="s">
        <v>301</v>
      </c>
      <c r="I4" s="502"/>
      <c r="J4" s="502"/>
      <c r="K4" s="502"/>
    </row>
    <row r="5" spans="8:11" s="1" customFormat="1" ht="18" customHeight="1">
      <c r="H5" s="503">
        <v>42857</v>
      </c>
      <c r="I5" s="502"/>
      <c r="J5" s="502"/>
      <c r="K5" s="502"/>
    </row>
    <row r="6" spans="1:11" s="1" customFormat="1" ht="18" customHeight="1">
      <c r="A6" s="3" t="s">
        <v>2</v>
      </c>
      <c r="H6" s="4"/>
      <c r="K6" s="11"/>
    </row>
    <row r="7" spans="1:11" s="1" customFormat="1" ht="18" customHeight="1">
      <c r="A7" s="4"/>
      <c r="H7" s="502" t="s">
        <v>273</v>
      </c>
      <c r="I7" s="502"/>
      <c r="J7" s="502"/>
      <c r="K7" s="502"/>
    </row>
    <row r="8" spans="1:11" s="1" customFormat="1" ht="18" customHeight="1">
      <c r="A8" s="4"/>
      <c r="H8" s="502"/>
      <c r="I8" s="502"/>
      <c r="J8" s="502"/>
      <c r="K8" s="502"/>
    </row>
    <row r="9" spans="1:11" s="1" customFormat="1" ht="42" customHeight="1">
      <c r="A9" s="4"/>
      <c r="H9" s="2"/>
      <c r="K9" s="46"/>
    </row>
    <row r="10" spans="1:11" ht="24" customHeight="1">
      <c r="A10" s="490" t="s">
        <v>256</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5">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5">
        <f>SUM(B17:J17)</f>
        <v>0</v>
      </c>
    </row>
    <row r="18" spans="1:11" ht="58.5" customHeight="1">
      <c r="A18" s="20" t="s">
        <v>95</v>
      </c>
      <c r="B18" s="436">
        <f>'1-2'!G107</f>
        <v>130000</v>
      </c>
      <c r="C18" s="323">
        <f>'1-2'!G108</f>
        <v>205000</v>
      </c>
      <c r="D18" s="323">
        <f>'1-2'!G109</f>
        <v>747070</v>
      </c>
      <c r="E18" s="323">
        <f>'1-2'!G110</f>
        <v>0</v>
      </c>
      <c r="F18" s="323">
        <f>'1-2'!G111</f>
        <v>0</v>
      </c>
      <c r="G18" s="323">
        <f>'1-2'!G112</f>
        <v>0</v>
      </c>
      <c r="H18" s="323">
        <f>'1-2'!G113</f>
        <v>0</v>
      </c>
      <c r="I18" s="323">
        <f>'1-2'!G114</f>
        <v>0</v>
      </c>
      <c r="J18" s="437">
        <f>'1-2'!G115</f>
        <v>107930</v>
      </c>
      <c r="K18" s="438">
        <f t="shared" si="0"/>
        <v>1190000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130000</v>
      </c>
      <c r="C20" s="444">
        <f>C18-C19</f>
        <v>205000</v>
      </c>
      <c r="D20" s="444">
        <f aca="true" t="shared" si="1" ref="D20:J20">D18-D19</f>
        <v>747070</v>
      </c>
      <c r="E20" s="444">
        <f t="shared" si="1"/>
        <v>0</v>
      </c>
      <c r="F20" s="444">
        <f t="shared" si="1"/>
        <v>0</v>
      </c>
      <c r="G20" s="444">
        <f t="shared" si="1"/>
        <v>0</v>
      </c>
      <c r="H20" s="444">
        <f t="shared" si="1"/>
        <v>0</v>
      </c>
      <c r="I20" s="444">
        <f t="shared" si="1"/>
        <v>0</v>
      </c>
      <c r="J20" s="444">
        <f t="shared" si="1"/>
        <v>96930</v>
      </c>
      <c r="K20" s="445">
        <f t="shared" si="0"/>
        <v>1179000</v>
      </c>
    </row>
    <row r="21" spans="1:11" ht="58.5" customHeight="1" thickBot="1">
      <c r="A21" s="32" t="s">
        <v>102</v>
      </c>
      <c r="B21" s="443">
        <f>B16+B18</f>
        <v>130000</v>
      </c>
      <c r="C21" s="443">
        <f aca="true" t="shared" si="2" ref="C21:J21">C16+C18</f>
        <v>205000</v>
      </c>
      <c r="D21" s="443">
        <f t="shared" si="2"/>
        <v>747070</v>
      </c>
      <c r="E21" s="443">
        <f t="shared" si="2"/>
        <v>0</v>
      </c>
      <c r="F21" s="443">
        <f t="shared" si="2"/>
        <v>0</v>
      </c>
      <c r="G21" s="443">
        <f t="shared" si="2"/>
        <v>0</v>
      </c>
      <c r="H21" s="443">
        <f t="shared" si="2"/>
        <v>0</v>
      </c>
      <c r="I21" s="443">
        <f t="shared" si="2"/>
        <v>0</v>
      </c>
      <c r="J21" s="443">
        <f t="shared" si="2"/>
        <v>107930</v>
      </c>
      <c r="K21" s="445">
        <f t="shared" si="0"/>
        <v>1190000</v>
      </c>
    </row>
    <row r="22" spans="1:11" ht="58.5" customHeight="1">
      <c r="A22" s="30" t="s">
        <v>163</v>
      </c>
      <c r="B22" s="446"/>
      <c r="C22" s="342"/>
      <c r="D22" s="342"/>
      <c r="E22" s="342"/>
      <c r="F22" s="342"/>
      <c r="G22" s="342"/>
      <c r="H22" s="342"/>
      <c r="I22" s="342"/>
      <c r="J22" s="447"/>
      <c r="K22" s="435">
        <f t="shared" si="0"/>
        <v>0</v>
      </c>
    </row>
    <row r="23" spans="1:11" ht="58.5" customHeight="1" thickBot="1">
      <c r="A23" s="22" t="s">
        <v>164</v>
      </c>
      <c r="B23" s="221">
        <f>B21+B22</f>
        <v>130000</v>
      </c>
      <c r="C23" s="222">
        <f>C21+C22</f>
        <v>205000</v>
      </c>
      <c r="D23" s="222">
        <f aca="true" t="shared" si="3" ref="D23:J23">D21+D22</f>
        <v>747070</v>
      </c>
      <c r="E23" s="222">
        <f t="shared" si="3"/>
        <v>0</v>
      </c>
      <c r="F23" s="222">
        <f t="shared" si="3"/>
        <v>0</v>
      </c>
      <c r="G23" s="222">
        <f t="shared" si="3"/>
        <v>0</v>
      </c>
      <c r="H23" s="222">
        <f t="shared" si="3"/>
        <v>0</v>
      </c>
      <c r="I23" s="222">
        <f t="shared" si="3"/>
        <v>0</v>
      </c>
      <c r="J23" s="222">
        <f t="shared" si="3"/>
        <v>107930</v>
      </c>
      <c r="K23" s="224">
        <f t="shared" si="0"/>
        <v>1190000</v>
      </c>
    </row>
    <row r="24" spans="1:11" ht="39" customHeight="1" thickBot="1">
      <c r="A24" s="32" t="s">
        <v>104</v>
      </c>
      <c r="B24" s="557" t="s">
        <v>298</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0" sqref="G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6" t="s">
        <v>142</v>
      </c>
      <c r="C3" s="60" t="s">
        <v>144</v>
      </c>
      <c r="D3" s="96" t="s">
        <v>146</v>
      </c>
      <c r="E3" s="96" t="s">
        <v>0</v>
      </c>
      <c r="F3" s="96" t="s">
        <v>198</v>
      </c>
      <c r="G3" s="96" t="s">
        <v>91</v>
      </c>
      <c r="H3" s="476" t="s">
        <v>246</v>
      </c>
      <c r="I3" s="96" t="s">
        <v>92</v>
      </c>
      <c r="J3" s="96" t="s">
        <v>93</v>
      </c>
      <c r="K3" s="229" t="s">
        <v>111</v>
      </c>
      <c r="L3" s="297" t="s">
        <v>94</v>
      </c>
      <c r="M3" s="29" t="s">
        <v>99</v>
      </c>
    </row>
    <row r="4" spans="1:13" ht="13.5" customHeight="1">
      <c r="A4" s="242"/>
      <c r="B4" s="243"/>
      <c r="C4" s="244"/>
      <c r="D4" s="245">
        <v>1</v>
      </c>
      <c r="E4" s="246" t="s">
        <v>138</v>
      </c>
      <c r="F4" s="247" t="s">
        <v>225</v>
      </c>
      <c r="G4" s="248">
        <v>85890</v>
      </c>
      <c r="H4" s="249">
        <v>1</v>
      </c>
      <c r="I4" s="249">
        <v>1</v>
      </c>
      <c r="J4" s="250">
        <f>G4*H4*I4</f>
        <v>85890</v>
      </c>
      <c r="K4" s="251"/>
      <c r="L4" s="252" t="s">
        <v>226</v>
      </c>
      <c r="M4" s="29">
        <f aca="true" t="shared" si="0" ref="M4:M67">IF(K4="◎",J4,"")</f>
      </c>
    </row>
    <row r="5" spans="1:13" ht="13.5" customHeight="1">
      <c r="A5" s="253"/>
      <c r="B5" s="254" t="s">
        <v>274</v>
      </c>
      <c r="C5" s="255" t="s">
        <v>275</v>
      </c>
      <c r="D5" s="256">
        <v>2</v>
      </c>
      <c r="E5" s="257" t="s">
        <v>125</v>
      </c>
      <c r="F5" s="258" t="s">
        <v>303</v>
      </c>
      <c r="G5" s="259">
        <v>159840</v>
      </c>
      <c r="H5" s="249">
        <v>1</v>
      </c>
      <c r="I5" s="249">
        <v>1</v>
      </c>
      <c r="J5" s="261">
        <f>G5*H5*I5</f>
        <v>159840</v>
      </c>
      <c r="K5" s="262"/>
      <c r="L5" s="263" t="s">
        <v>297</v>
      </c>
      <c r="M5" s="29">
        <f t="shared" si="0"/>
      </c>
    </row>
    <row r="6" spans="1:13" ht="13.5" customHeight="1">
      <c r="A6" s="253"/>
      <c r="B6" s="254" t="s">
        <v>276</v>
      </c>
      <c r="C6" s="264" t="s">
        <v>282</v>
      </c>
      <c r="D6" s="256">
        <v>3</v>
      </c>
      <c r="E6" s="257" t="s">
        <v>125</v>
      </c>
      <c r="F6" s="258" t="s">
        <v>304</v>
      </c>
      <c r="G6" s="259">
        <v>30116</v>
      </c>
      <c r="H6" s="249">
        <v>1</v>
      </c>
      <c r="I6" s="249">
        <v>1</v>
      </c>
      <c r="J6" s="261">
        <f aca="true" t="shared" si="1" ref="J6:J69">G6*H6*I6</f>
        <v>30116</v>
      </c>
      <c r="K6" s="262"/>
      <c r="L6" s="263" t="s">
        <v>297</v>
      </c>
      <c r="M6" s="29">
        <f t="shared" si="0"/>
      </c>
    </row>
    <row r="7" spans="1:13" ht="13.5" customHeight="1">
      <c r="A7" s="253"/>
      <c r="B7" s="254" t="s">
        <v>277</v>
      </c>
      <c r="C7" s="255" t="s">
        <v>283</v>
      </c>
      <c r="D7" s="256">
        <v>4</v>
      </c>
      <c r="E7" s="257" t="s">
        <v>125</v>
      </c>
      <c r="F7" s="258" t="s">
        <v>305</v>
      </c>
      <c r="G7" s="259">
        <v>64800</v>
      </c>
      <c r="H7" s="249">
        <v>1</v>
      </c>
      <c r="I7" s="249">
        <v>1</v>
      </c>
      <c r="J7" s="261">
        <f t="shared" si="1"/>
        <v>64800</v>
      </c>
      <c r="K7" s="262"/>
      <c r="L7" s="263" t="s">
        <v>297</v>
      </c>
      <c r="M7" s="29">
        <f t="shared" si="0"/>
      </c>
    </row>
    <row r="8" spans="1:13" ht="13.5" customHeight="1">
      <c r="A8" s="253"/>
      <c r="B8" s="254" t="s">
        <v>278</v>
      </c>
      <c r="C8" s="255" t="s">
        <v>284</v>
      </c>
      <c r="D8" s="265">
        <v>5</v>
      </c>
      <c r="E8" s="257" t="s">
        <v>125</v>
      </c>
      <c r="F8" s="258" t="s">
        <v>306</v>
      </c>
      <c r="G8" s="259">
        <v>101494</v>
      </c>
      <c r="H8" s="249">
        <v>1</v>
      </c>
      <c r="I8" s="249">
        <v>1</v>
      </c>
      <c r="J8" s="261">
        <f t="shared" si="1"/>
        <v>101494</v>
      </c>
      <c r="K8" s="262"/>
      <c r="L8" s="263" t="s">
        <v>297</v>
      </c>
      <c r="M8" s="29">
        <f t="shared" si="0"/>
      </c>
    </row>
    <row r="9" spans="1:13" ht="13.5" customHeight="1">
      <c r="A9" s="253"/>
      <c r="B9" s="254" t="s">
        <v>279</v>
      </c>
      <c r="C9" s="255" t="s">
        <v>285</v>
      </c>
      <c r="D9" s="256">
        <v>6</v>
      </c>
      <c r="E9" s="257" t="s">
        <v>125</v>
      </c>
      <c r="F9" s="258" t="s">
        <v>307</v>
      </c>
      <c r="G9" s="259">
        <v>153599</v>
      </c>
      <c r="H9" s="249">
        <v>1</v>
      </c>
      <c r="I9" s="249">
        <v>1</v>
      </c>
      <c r="J9" s="261">
        <f t="shared" si="1"/>
        <v>153599</v>
      </c>
      <c r="K9" s="262"/>
      <c r="L9" s="263" t="s">
        <v>297</v>
      </c>
      <c r="M9" s="29">
        <f t="shared" si="0"/>
      </c>
    </row>
    <row r="10" spans="1:13" ht="13.5" customHeight="1">
      <c r="A10" s="253"/>
      <c r="B10" s="254" t="s">
        <v>280</v>
      </c>
      <c r="C10" s="255" t="s">
        <v>286</v>
      </c>
      <c r="D10" s="256">
        <v>7</v>
      </c>
      <c r="E10" s="258" t="s">
        <v>125</v>
      </c>
      <c r="F10" s="258" t="s">
        <v>308</v>
      </c>
      <c r="G10" s="259">
        <v>190008</v>
      </c>
      <c r="H10" s="249">
        <v>1</v>
      </c>
      <c r="I10" s="249">
        <v>1</v>
      </c>
      <c r="J10" s="261">
        <f t="shared" si="1"/>
        <v>190008</v>
      </c>
      <c r="K10" s="262"/>
      <c r="L10" s="263" t="s">
        <v>297</v>
      </c>
      <c r="M10" s="29">
        <f t="shared" si="0"/>
      </c>
    </row>
    <row r="11" spans="1:13" ht="13.5" customHeight="1">
      <c r="A11" s="253"/>
      <c r="B11" s="254" t="s">
        <v>281</v>
      </c>
      <c r="C11" s="255" t="s">
        <v>287</v>
      </c>
      <c r="D11" s="265">
        <v>8</v>
      </c>
      <c r="E11" s="266" t="s">
        <v>125</v>
      </c>
      <c r="F11" s="258" t="s">
        <v>309</v>
      </c>
      <c r="G11" s="267">
        <v>40253</v>
      </c>
      <c r="H11" s="249">
        <v>1</v>
      </c>
      <c r="I11" s="249">
        <v>1</v>
      </c>
      <c r="J11" s="261">
        <f t="shared" si="1"/>
        <v>40253</v>
      </c>
      <c r="K11" s="269"/>
      <c r="L11" s="263" t="s">
        <v>297</v>
      </c>
      <c r="M11" s="29">
        <f t="shared" si="0"/>
      </c>
    </row>
    <row r="12" spans="1:13" ht="13.5" customHeight="1">
      <c r="A12" s="253"/>
      <c r="B12" s="254" t="s">
        <v>296</v>
      </c>
      <c r="C12" s="255" t="s">
        <v>302</v>
      </c>
      <c r="D12" s="265">
        <v>9</v>
      </c>
      <c r="E12" s="257" t="s">
        <v>86</v>
      </c>
      <c r="F12" s="257" t="s">
        <v>288</v>
      </c>
      <c r="G12" s="271">
        <v>50000</v>
      </c>
      <c r="H12" s="249">
        <v>1</v>
      </c>
      <c r="I12" s="249">
        <v>1</v>
      </c>
      <c r="J12" s="261">
        <f t="shared" si="1"/>
        <v>50000</v>
      </c>
      <c r="K12" s="273"/>
      <c r="L12" s="274"/>
      <c r="M12" s="29">
        <f t="shared" si="0"/>
      </c>
    </row>
    <row r="13" spans="1:13" ht="13.5" customHeight="1">
      <c r="A13" s="253"/>
      <c r="B13" s="254" t="s">
        <v>296</v>
      </c>
      <c r="C13" s="255" t="s">
        <v>302</v>
      </c>
      <c r="D13" s="275">
        <v>10</v>
      </c>
      <c r="E13" s="257" t="s">
        <v>86</v>
      </c>
      <c r="F13" s="257" t="s">
        <v>289</v>
      </c>
      <c r="G13" s="271">
        <v>35000</v>
      </c>
      <c r="H13" s="249">
        <v>1</v>
      </c>
      <c r="I13" s="249">
        <v>1</v>
      </c>
      <c r="J13" s="261">
        <f t="shared" si="1"/>
        <v>35000</v>
      </c>
      <c r="K13" s="262"/>
      <c r="L13" s="263"/>
      <c r="M13" s="29">
        <f t="shared" si="0"/>
      </c>
    </row>
    <row r="14" spans="1:13" ht="13.5" customHeight="1">
      <c r="A14" s="253"/>
      <c r="B14" s="254" t="s">
        <v>295</v>
      </c>
      <c r="C14" s="255" t="s">
        <v>302</v>
      </c>
      <c r="D14" s="256">
        <v>11</v>
      </c>
      <c r="E14" s="258" t="s">
        <v>85</v>
      </c>
      <c r="F14" s="258" t="s">
        <v>290</v>
      </c>
      <c r="G14" s="259">
        <v>20000</v>
      </c>
      <c r="H14" s="249">
        <v>1</v>
      </c>
      <c r="I14" s="249">
        <v>1</v>
      </c>
      <c r="J14" s="261">
        <f t="shared" si="1"/>
        <v>20000</v>
      </c>
      <c r="K14" s="276"/>
      <c r="L14" s="263"/>
      <c r="M14" s="29">
        <f t="shared" si="0"/>
      </c>
    </row>
    <row r="15" spans="1:13" ht="13.5" customHeight="1">
      <c r="A15" s="253"/>
      <c r="B15" s="254" t="s">
        <v>295</v>
      </c>
      <c r="C15" s="255" t="s">
        <v>302</v>
      </c>
      <c r="D15" s="256">
        <v>12</v>
      </c>
      <c r="E15" s="277" t="s">
        <v>85</v>
      </c>
      <c r="F15" s="277" t="s">
        <v>291</v>
      </c>
      <c r="G15" s="278">
        <v>10000</v>
      </c>
      <c r="H15" s="249">
        <v>1</v>
      </c>
      <c r="I15" s="249">
        <v>1</v>
      </c>
      <c r="J15" s="261">
        <f t="shared" si="1"/>
        <v>10000</v>
      </c>
      <c r="K15" s="280"/>
      <c r="L15" s="281"/>
      <c r="M15" s="29">
        <f t="shared" si="0"/>
      </c>
    </row>
    <row r="16" spans="1:13" ht="13.5" customHeight="1">
      <c r="A16" s="253"/>
      <c r="B16" s="254" t="s">
        <v>296</v>
      </c>
      <c r="C16" s="255" t="s">
        <v>302</v>
      </c>
      <c r="D16" s="256">
        <v>13</v>
      </c>
      <c r="E16" s="258" t="s">
        <v>85</v>
      </c>
      <c r="F16" s="258" t="s">
        <v>292</v>
      </c>
      <c r="G16" s="259">
        <v>25000</v>
      </c>
      <c r="H16" s="249">
        <v>1</v>
      </c>
      <c r="I16" s="249">
        <v>1</v>
      </c>
      <c r="J16" s="261">
        <f t="shared" si="1"/>
        <v>25000</v>
      </c>
      <c r="K16" s="262"/>
      <c r="L16" s="263"/>
      <c r="M16" s="29">
        <f t="shared" si="0"/>
      </c>
    </row>
    <row r="17" spans="1:13" ht="13.5" customHeight="1">
      <c r="A17" s="253"/>
      <c r="B17" s="254" t="s">
        <v>295</v>
      </c>
      <c r="C17" s="255" t="s">
        <v>302</v>
      </c>
      <c r="D17" s="256">
        <v>14</v>
      </c>
      <c r="E17" s="258" t="s">
        <v>85</v>
      </c>
      <c r="F17" s="258" t="s">
        <v>293</v>
      </c>
      <c r="G17" s="259">
        <v>5000</v>
      </c>
      <c r="H17" s="260">
        <v>15</v>
      </c>
      <c r="I17" s="260">
        <v>1</v>
      </c>
      <c r="J17" s="261">
        <f t="shared" si="1"/>
        <v>75000</v>
      </c>
      <c r="K17" s="262"/>
      <c r="L17" s="263"/>
      <c r="M17" s="29">
        <f t="shared" si="0"/>
      </c>
    </row>
    <row r="18" spans="1:13" ht="13.5" customHeight="1">
      <c r="A18" s="253"/>
      <c r="B18" s="254" t="s">
        <v>295</v>
      </c>
      <c r="C18" s="255" t="s">
        <v>302</v>
      </c>
      <c r="D18" s="256">
        <v>15</v>
      </c>
      <c r="E18" s="258" t="s">
        <v>86</v>
      </c>
      <c r="F18" s="258" t="s">
        <v>294</v>
      </c>
      <c r="G18" s="259">
        <v>40000</v>
      </c>
      <c r="H18" s="260">
        <v>3</v>
      </c>
      <c r="I18" s="260">
        <v>1</v>
      </c>
      <c r="J18" s="261">
        <f t="shared" si="1"/>
        <v>120000</v>
      </c>
      <c r="K18" s="262"/>
      <c r="L18" s="263"/>
      <c r="M18" s="29">
        <f t="shared" si="0"/>
      </c>
    </row>
    <row r="19" spans="1:13" ht="13.5" customHeight="1">
      <c r="A19" s="253"/>
      <c r="B19" s="254" t="s">
        <v>295</v>
      </c>
      <c r="C19" s="255" t="s">
        <v>302</v>
      </c>
      <c r="D19" s="256">
        <v>16</v>
      </c>
      <c r="E19" s="258" t="s">
        <v>138</v>
      </c>
      <c r="F19" s="258" t="s">
        <v>310</v>
      </c>
      <c r="G19" s="259">
        <v>8000</v>
      </c>
      <c r="H19" s="260">
        <v>1</v>
      </c>
      <c r="I19" s="260">
        <v>1</v>
      </c>
      <c r="J19" s="261">
        <f t="shared" si="1"/>
        <v>8000</v>
      </c>
      <c r="K19" s="262"/>
      <c r="L19" s="263"/>
      <c r="M19" s="29">
        <f t="shared" si="0"/>
      </c>
    </row>
    <row r="20" spans="1:13" ht="13.5" customHeight="1">
      <c r="A20" s="253"/>
      <c r="B20" s="254" t="s">
        <v>295</v>
      </c>
      <c r="C20" s="255" t="s">
        <v>302</v>
      </c>
      <c r="D20" s="256">
        <v>17</v>
      </c>
      <c r="E20" s="258" t="s">
        <v>138</v>
      </c>
      <c r="F20" s="258" t="s">
        <v>311</v>
      </c>
      <c r="G20" s="259">
        <v>14040</v>
      </c>
      <c r="H20" s="260">
        <v>1</v>
      </c>
      <c r="I20" s="260">
        <v>1</v>
      </c>
      <c r="J20" s="261">
        <f>G20*H20*I20</f>
        <v>14040</v>
      </c>
      <c r="K20" s="262"/>
      <c r="L20" s="263"/>
      <c r="M20" s="29">
        <f t="shared" si="0"/>
      </c>
    </row>
    <row r="21" spans="1:13" ht="13.5" customHeight="1">
      <c r="A21" s="253"/>
      <c r="B21" s="254"/>
      <c r="C21" s="255" t="s">
        <v>302</v>
      </c>
      <c r="D21" s="256">
        <v>18</v>
      </c>
      <c r="E21" s="258" t="s">
        <v>125</v>
      </c>
      <c r="F21" s="258" t="s">
        <v>312</v>
      </c>
      <c r="G21" s="259">
        <v>6960</v>
      </c>
      <c r="H21" s="260">
        <v>1</v>
      </c>
      <c r="I21" s="260">
        <v>1</v>
      </c>
      <c r="J21" s="261">
        <f t="shared" si="1"/>
        <v>6960</v>
      </c>
      <c r="K21" s="262"/>
      <c r="L21" s="263"/>
      <c r="M21" s="29">
        <f t="shared" si="0"/>
      </c>
    </row>
    <row r="22" spans="1:13" ht="13.5" customHeight="1">
      <c r="A22" s="253"/>
      <c r="B22" s="254"/>
      <c r="C22" s="255"/>
      <c r="D22" s="256">
        <v>19</v>
      </c>
      <c r="E22" s="258"/>
      <c r="F22" s="258"/>
      <c r="G22" s="259"/>
      <c r="H22" s="260"/>
      <c r="I22" s="260"/>
      <c r="J22" s="261">
        <f t="shared" si="1"/>
        <v>0</v>
      </c>
      <c r="K22" s="262"/>
      <c r="L22" s="263"/>
      <c r="M22" s="29">
        <f t="shared" si="0"/>
      </c>
    </row>
    <row r="23" spans="1:13" ht="13.5" customHeight="1">
      <c r="A23" s="253"/>
      <c r="B23" s="254"/>
      <c r="C23" s="255"/>
      <c r="D23" s="256">
        <v>20</v>
      </c>
      <c r="E23" s="258"/>
      <c r="F23" s="258"/>
      <c r="G23" s="259"/>
      <c r="H23" s="260"/>
      <c r="I23" s="260"/>
      <c r="J23" s="261">
        <f t="shared" si="1"/>
        <v>0</v>
      </c>
      <c r="K23" s="262"/>
      <c r="L23" s="263"/>
      <c r="M23" s="29">
        <f t="shared" si="0"/>
      </c>
    </row>
    <row r="24" spans="1:13" ht="13.5" customHeight="1">
      <c r="A24" s="253"/>
      <c r="B24" s="282"/>
      <c r="C24" s="255"/>
      <c r="D24" s="256">
        <v>21</v>
      </c>
      <c r="E24" s="257"/>
      <c r="F24" s="258"/>
      <c r="G24" s="259"/>
      <c r="H24" s="260"/>
      <c r="I24" s="260"/>
      <c r="J24" s="261">
        <f t="shared" si="1"/>
        <v>0</v>
      </c>
      <c r="K24" s="262"/>
      <c r="L24" s="263"/>
      <c r="M24" s="29">
        <f t="shared" si="0"/>
      </c>
    </row>
    <row r="25" spans="1:13" ht="13.5" customHeight="1">
      <c r="A25" s="253"/>
      <c r="B25" s="282"/>
      <c r="C25" s="255"/>
      <c r="D25" s="256">
        <v>22</v>
      </c>
      <c r="E25" s="257"/>
      <c r="F25" s="258"/>
      <c r="G25" s="259"/>
      <c r="H25" s="260"/>
      <c r="I25" s="260"/>
      <c r="J25" s="261">
        <f t="shared" si="1"/>
        <v>0</v>
      </c>
      <c r="K25" s="262"/>
      <c r="L25" s="263"/>
      <c r="M25" s="29">
        <f t="shared" si="0"/>
      </c>
    </row>
    <row r="26" spans="1:13" ht="13.5" customHeight="1">
      <c r="A26" s="253"/>
      <c r="B26" s="282"/>
      <c r="C26" s="255"/>
      <c r="D26" s="256">
        <v>23</v>
      </c>
      <c r="E26" s="257"/>
      <c r="F26" s="258"/>
      <c r="G26" s="259"/>
      <c r="H26" s="260"/>
      <c r="I26" s="260"/>
      <c r="J26" s="261">
        <f t="shared" si="1"/>
        <v>0</v>
      </c>
      <c r="K26" s="262"/>
      <c r="L26" s="263"/>
      <c r="M26" s="29">
        <f t="shared" si="0"/>
      </c>
    </row>
    <row r="27" spans="1:13" ht="13.5" customHeight="1">
      <c r="A27" s="253"/>
      <c r="B27" s="282"/>
      <c r="C27" s="255"/>
      <c r="D27" s="256">
        <v>24</v>
      </c>
      <c r="E27" s="257"/>
      <c r="F27" s="258"/>
      <c r="G27" s="259"/>
      <c r="H27" s="260"/>
      <c r="I27" s="260"/>
      <c r="J27" s="261">
        <f t="shared" si="1"/>
        <v>0</v>
      </c>
      <c r="K27" s="262"/>
      <c r="L27" s="263"/>
      <c r="M27" s="29">
        <f t="shared" si="0"/>
      </c>
    </row>
    <row r="28" spans="1:13" ht="13.5" customHeight="1">
      <c r="A28" s="253"/>
      <c r="B28" s="282"/>
      <c r="C28" s="255"/>
      <c r="D28" s="265">
        <v>25</v>
      </c>
      <c r="E28" s="257"/>
      <c r="F28" s="258"/>
      <c r="G28" s="259"/>
      <c r="H28" s="260"/>
      <c r="I28" s="260"/>
      <c r="J28" s="261">
        <f t="shared" si="1"/>
        <v>0</v>
      </c>
      <c r="K28" s="262"/>
      <c r="L28" s="263"/>
      <c r="M28" s="29">
        <f t="shared" si="0"/>
      </c>
    </row>
    <row r="29" spans="1:13" ht="13.5" customHeight="1">
      <c r="A29" s="253"/>
      <c r="B29" s="282"/>
      <c r="C29" s="255"/>
      <c r="D29" s="256">
        <v>26</v>
      </c>
      <c r="E29" s="257"/>
      <c r="F29" s="258"/>
      <c r="G29" s="259"/>
      <c r="H29" s="260"/>
      <c r="I29" s="260"/>
      <c r="J29" s="261">
        <f t="shared" si="1"/>
        <v>0</v>
      </c>
      <c r="K29" s="262"/>
      <c r="L29" s="263"/>
      <c r="M29" s="29">
        <f t="shared" si="0"/>
      </c>
    </row>
    <row r="30" spans="1:13" ht="13.5" customHeight="1">
      <c r="A30" s="253"/>
      <c r="B30" s="282"/>
      <c r="C30" s="255"/>
      <c r="D30" s="256">
        <v>27</v>
      </c>
      <c r="E30" s="257"/>
      <c r="F30" s="258"/>
      <c r="G30" s="259"/>
      <c r="H30" s="260"/>
      <c r="I30" s="260"/>
      <c r="J30" s="261">
        <f t="shared" si="1"/>
        <v>0</v>
      </c>
      <c r="K30" s="262"/>
      <c r="L30" s="263"/>
      <c r="M30" s="29">
        <f t="shared" si="0"/>
      </c>
    </row>
    <row r="31" spans="1:13" ht="13.5" customHeight="1">
      <c r="A31" s="253"/>
      <c r="B31" s="282"/>
      <c r="C31" s="255"/>
      <c r="D31" s="256">
        <v>28</v>
      </c>
      <c r="E31" s="257"/>
      <c r="F31" s="258"/>
      <c r="G31" s="259"/>
      <c r="H31" s="260"/>
      <c r="I31" s="260"/>
      <c r="J31" s="261">
        <f t="shared" si="1"/>
        <v>0</v>
      </c>
      <c r="K31" s="262"/>
      <c r="L31" s="263"/>
      <c r="M31" s="29">
        <f t="shared" si="0"/>
      </c>
    </row>
    <row r="32" spans="1:13" ht="13.5" customHeight="1">
      <c r="A32" s="253"/>
      <c r="B32" s="282"/>
      <c r="C32" s="255"/>
      <c r="D32" s="265">
        <v>29</v>
      </c>
      <c r="E32" s="257"/>
      <c r="F32" s="258"/>
      <c r="G32" s="259"/>
      <c r="H32" s="260"/>
      <c r="I32" s="260"/>
      <c r="J32" s="261">
        <f t="shared" si="1"/>
        <v>0</v>
      </c>
      <c r="K32" s="262"/>
      <c r="L32" s="263"/>
      <c r="M32" s="29">
        <f t="shared" si="0"/>
      </c>
    </row>
    <row r="33" spans="1:13" ht="13.5" customHeight="1">
      <c r="A33" s="253"/>
      <c r="B33" s="282"/>
      <c r="C33" s="255"/>
      <c r="D33" s="256">
        <v>30</v>
      </c>
      <c r="E33" s="258"/>
      <c r="F33" s="258"/>
      <c r="G33" s="259"/>
      <c r="H33" s="260"/>
      <c r="I33" s="260"/>
      <c r="J33" s="261">
        <f t="shared" si="1"/>
        <v>0</v>
      </c>
      <c r="K33" s="262"/>
      <c r="L33" s="263"/>
      <c r="M33" s="29">
        <f t="shared" si="0"/>
      </c>
    </row>
    <row r="34" spans="1:13" ht="13.5" customHeight="1">
      <c r="A34" s="253"/>
      <c r="B34" s="282"/>
      <c r="C34" s="255"/>
      <c r="D34" s="256">
        <v>31</v>
      </c>
      <c r="E34" s="258"/>
      <c r="F34" s="258"/>
      <c r="G34" s="259"/>
      <c r="H34" s="260"/>
      <c r="I34" s="260"/>
      <c r="J34" s="261">
        <f t="shared" si="1"/>
        <v>0</v>
      </c>
      <c r="K34" s="262"/>
      <c r="L34" s="263"/>
      <c r="M34" s="29">
        <f t="shared" si="0"/>
      </c>
    </row>
    <row r="35" spans="1:13" ht="13.5" customHeight="1">
      <c r="A35" s="253"/>
      <c r="B35" s="282"/>
      <c r="C35" s="255"/>
      <c r="D35" s="256">
        <v>32</v>
      </c>
      <c r="E35" s="258"/>
      <c r="F35" s="258"/>
      <c r="G35" s="259"/>
      <c r="H35" s="260"/>
      <c r="I35" s="260"/>
      <c r="J35" s="261">
        <f t="shared" si="1"/>
        <v>0</v>
      </c>
      <c r="K35" s="262"/>
      <c r="L35" s="263"/>
      <c r="M35" s="29">
        <f t="shared" si="0"/>
      </c>
    </row>
    <row r="36" spans="1:13" ht="13.5" customHeight="1">
      <c r="A36" s="253"/>
      <c r="B36" s="282"/>
      <c r="C36" s="255"/>
      <c r="D36" s="256">
        <v>33</v>
      </c>
      <c r="E36" s="258"/>
      <c r="F36" s="258"/>
      <c r="G36" s="259"/>
      <c r="H36" s="260"/>
      <c r="I36" s="260"/>
      <c r="J36" s="261">
        <f t="shared" si="1"/>
        <v>0</v>
      </c>
      <c r="K36" s="262"/>
      <c r="L36" s="263"/>
      <c r="M36" s="29">
        <f t="shared" si="0"/>
      </c>
    </row>
    <row r="37" spans="1:13" ht="13.5" customHeight="1">
      <c r="A37" s="253"/>
      <c r="B37" s="282"/>
      <c r="C37" s="255"/>
      <c r="D37" s="256">
        <v>34</v>
      </c>
      <c r="E37" s="258"/>
      <c r="F37" s="258"/>
      <c r="G37" s="259"/>
      <c r="H37" s="260"/>
      <c r="I37" s="260"/>
      <c r="J37" s="261">
        <f t="shared" si="1"/>
        <v>0</v>
      </c>
      <c r="K37" s="262"/>
      <c r="L37" s="263"/>
      <c r="M37" s="29">
        <f t="shared" si="0"/>
      </c>
    </row>
    <row r="38" spans="1:13" ht="13.5" customHeight="1">
      <c r="A38" s="253"/>
      <c r="B38" s="282"/>
      <c r="C38" s="255"/>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65">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65">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65">
        <v>49</v>
      </c>
      <c r="E52" s="257"/>
      <c r="F52" s="258"/>
      <c r="G52" s="259"/>
      <c r="H52" s="260"/>
      <c r="I52" s="260"/>
      <c r="J52" s="261">
        <f t="shared" si="1"/>
        <v>0</v>
      </c>
      <c r="K52" s="262"/>
      <c r="L52" s="263"/>
      <c r="M52" s="29">
        <f t="shared" si="0"/>
      </c>
    </row>
    <row r="53" spans="1:13" ht="13.5" customHeight="1">
      <c r="A53" s="253"/>
      <c r="B53" s="254"/>
      <c r="C53" s="255"/>
      <c r="D53" s="275">
        <v>50</v>
      </c>
      <c r="E53" s="257"/>
      <c r="F53" s="257"/>
      <c r="G53" s="271"/>
      <c r="H53" s="272"/>
      <c r="I53" s="272"/>
      <c r="J53" s="261">
        <f t="shared" si="1"/>
        <v>0</v>
      </c>
      <c r="K53" s="273"/>
      <c r="L53" s="274"/>
      <c r="M53" s="29">
        <f t="shared" si="0"/>
      </c>
    </row>
    <row r="54" spans="1:13" ht="13.5" customHeight="1">
      <c r="A54" s="283"/>
      <c r="B54" s="284"/>
      <c r="C54" s="255"/>
      <c r="D54" s="285">
        <v>51</v>
      </c>
      <c r="E54" s="258"/>
      <c r="F54" s="258"/>
      <c r="G54" s="259"/>
      <c r="H54" s="260"/>
      <c r="I54" s="260"/>
      <c r="J54" s="261">
        <f t="shared" si="1"/>
        <v>0</v>
      </c>
      <c r="K54" s="262"/>
      <c r="L54" s="263"/>
      <c r="M54" s="29">
        <f t="shared" si="0"/>
      </c>
    </row>
    <row r="55" spans="1:13" ht="13.5" customHeight="1">
      <c r="A55" s="283"/>
      <c r="B55" s="284"/>
      <c r="C55" s="255"/>
      <c r="D55" s="285">
        <v>52</v>
      </c>
      <c r="E55" s="258"/>
      <c r="F55" s="258"/>
      <c r="G55" s="259"/>
      <c r="H55" s="260"/>
      <c r="I55" s="260"/>
      <c r="J55" s="261">
        <f t="shared" si="1"/>
        <v>0</v>
      </c>
      <c r="K55" s="262"/>
      <c r="L55" s="263"/>
      <c r="M55" s="29">
        <f t="shared" si="0"/>
      </c>
    </row>
    <row r="56" spans="1:13" ht="13.5" customHeight="1">
      <c r="A56" s="283"/>
      <c r="B56" s="284"/>
      <c r="C56" s="255"/>
      <c r="D56" s="285">
        <v>53</v>
      </c>
      <c r="E56" s="258"/>
      <c r="F56" s="258"/>
      <c r="G56" s="259"/>
      <c r="H56" s="260"/>
      <c r="I56" s="260"/>
      <c r="J56" s="261">
        <f t="shared" si="1"/>
        <v>0</v>
      </c>
      <c r="K56" s="262"/>
      <c r="L56" s="263"/>
      <c r="M56" s="29">
        <f t="shared" si="0"/>
      </c>
    </row>
    <row r="57" spans="1:13" ht="13.5" customHeight="1">
      <c r="A57" s="283"/>
      <c r="B57" s="284"/>
      <c r="C57" s="255"/>
      <c r="D57" s="285">
        <v>54</v>
      </c>
      <c r="E57" s="258"/>
      <c r="F57" s="258"/>
      <c r="G57" s="259"/>
      <c r="H57" s="260"/>
      <c r="I57" s="260"/>
      <c r="J57" s="261">
        <f t="shared" si="1"/>
        <v>0</v>
      </c>
      <c r="K57" s="262"/>
      <c r="L57" s="263"/>
      <c r="M57" s="29">
        <f t="shared" si="0"/>
      </c>
    </row>
    <row r="58" spans="1:13" ht="13.5" customHeight="1">
      <c r="A58" s="283"/>
      <c r="B58" s="284"/>
      <c r="C58" s="255"/>
      <c r="D58" s="285">
        <v>55</v>
      </c>
      <c r="E58" s="258"/>
      <c r="F58" s="258"/>
      <c r="G58" s="259"/>
      <c r="H58" s="260"/>
      <c r="I58" s="260"/>
      <c r="J58" s="261">
        <f t="shared" si="1"/>
        <v>0</v>
      </c>
      <c r="K58" s="262"/>
      <c r="L58" s="263"/>
      <c r="M58" s="29">
        <f t="shared" si="0"/>
      </c>
    </row>
    <row r="59" spans="1:13" ht="13.5" customHeight="1">
      <c r="A59" s="283"/>
      <c r="B59" s="284"/>
      <c r="C59" s="255"/>
      <c r="D59" s="285">
        <v>56</v>
      </c>
      <c r="E59" s="258"/>
      <c r="F59" s="258"/>
      <c r="G59" s="259"/>
      <c r="H59" s="260"/>
      <c r="I59" s="260"/>
      <c r="J59" s="261">
        <f t="shared" si="1"/>
        <v>0</v>
      </c>
      <c r="K59" s="262"/>
      <c r="L59" s="263"/>
      <c r="M59" s="29">
        <f t="shared" si="0"/>
      </c>
    </row>
    <row r="60" spans="1:13" ht="13.5" customHeight="1">
      <c r="A60" s="283"/>
      <c r="B60" s="284"/>
      <c r="C60" s="255"/>
      <c r="D60" s="285">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79"/>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4" t="s">
        <v>96</v>
      </c>
      <c r="G106" s="231" t="s">
        <v>97</v>
      </c>
      <c r="H106" s="573" t="s">
        <v>176</v>
      </c>
      <c r="I106" s="573"/>
      <c r="J106" s="573" t="s">
        <v>173</v>
      </c>
      <c r="K106" s="574"/>
    </row>
    <row r="107" spans="4:11" ht="14.25" thickTop="1">
      <c r="D107" s="67"/>
      <c r="F107" s="298" t="s">
        <v>85</v>
      </c>
      <c r="G107" s="228">
        <f>SUMIF($E$4:$E$103,F107,$J$4:$J$103)</f>
        <v>130000</v>
      </c>
      <c r="H107" s="575">
        <f>SUMIF($E$4:$E$103,F107,$M$4:$M$103)</f>
        <v>0</v>
      </c>
      <c r="I107" s="575"/>
      <c r="J107" s="575">
        <f aca="true" t="shared" si="5" ref="J107:J115">G107-H107</f>
        <v>130000</v>
      </c>
      <c r="K107" s="576"/>
    </row>
    <row r="108" spans="4:11" ht="13.5">
      <c r="D108" s="67"/>
      <c r="F108" s="299" t="s">
        <v>86</v>
      </c>
      <c r="G108" s="228">
        <f aca="true" t="shared" si="6" ref="G108:G115">SUMIF($E$4:$E$103,F108,$J$4:$J$103)</f>
        <v>205000</v>
      </c>
      <c r="H108" s="567">
        <f aca="true" t="shared" si="7" ref="H108:H114">SUMIF($E$4:$E$103,F108,$M$4:$M$103)</f>
        <v>0</v>
      </c>
      <c r="I108" s="567"/>
      <c r="J108" s="567">
        <f t="shared" si="5"/>
        <v>205000</v>
      </c>
      <c r="K108" s="568"/>
    </row>
    <row r="109" spans="4:11" ht="13.5">
      <c r="D109" s="67"/>
      <c r="F109" s="299" t="s">
        <v>125</v>
      </c>
      <c r="G109" s="228">
        <f t="shared" si="6"/>
        <v>747070</v>
      </c>
      <c r="H109" s="567">
        <f t="shared" si="7"/>
        <v>0</v>
      </c>
      <c r="I109" s="567"/>
      <c r="J109" s="567">
        <f t="shared" si="5"/>
        <v>747070</v>
      </c>
      <c r="K109" s="568"/>
    </row>
    <row r="110" spans="4:11" ht="13.5">
      <c r="D110" s="67"/>
      <c r="F110" s="299" t="s">
        <v>126</v>
      </c>
      <c r="G110" s="228">
        <f t="shared" si="6"/>
        <v>0</v>
      </c>
      <c r="H110" s="567">
        <f t="shared" si="7"/>
        <v>0</v>
      </c>
      <c r="I110" s="567"/>
      <c r="J110" s="567">
        <f t="shared" si="5"/>
        <v>0</v>
      </c>
      <c r="K110" s="568"/>
    </row>
    <row r="111" spans="4:11" ht="13.5">
      <c r="D111" s="67"/>
      <c r="F111" s="299" t="s">
        <v>87</v>
      </c>
      <c r="G111" s="228">
        <f t="shared" si="6"/>
        <v>0</v>
      </c>
      <c r="H111" s="567">
        <f t="shared" si="7"/>
        <v>0</v>
      </c>
      <c r="I111" s="567"/>
      <c r="J111" s="567">
        <f t="shared" si="5"/>
        <v>0</v>
      </c>
      <c r="K111" s="568"/>
    </row>
    <row r="112" spans="4:11" ht="13.5">
      <c r="D112" s="67"/>
      <c r="F112" s="299" t="s">
        <v>88</v>
      </c>
      <c r="G112" s="228">
        <f t="shared" si="6"/>
        <v>0</v>
      </c>
      <c r="H112" s="567">
        <f t="shared" si="7"/>
        <v>0</v>
      </c>
      <c r="I112" s="567"/>
      <c r="J112" s="567">
        <f t="shared" si="5"/>
        <v>0</v>
      </c>
      <c r="K112" s="568"/>
    </row>
    <row r="113" spans="4:11" ht="13.5">
      <c r="D113" s="67"/>
      <c r="F113" s="299" t="s">
        <v>89</v>
      </c>
      <c r="G113" s="228">
        <f t="shared" si="6"/>
        <v>0</v>
      </c>
      <c r="H113" s="567">
        <f t="shared" si="7"/>
        <v>0</v>
      </c>
      <c r="I113" s="567"/>
      <c r="J113" s="567">
        <f t="shared" si="5"/>
        <v>0</v>
      </c>
      <c r="K113" s="568"/>
    </row>
    <row r="114" spans="4:11" ht="13.5">
      <c r="D114" s="67"/>
      <c r="F114" s="299" t="s">
        <v>90</v>
      </c>
      <c r="G114" s="228">
        <f t="shared" si="6"/>
        <v>0</v>
      </c>
      <c r="H114" s="567">
        <f t="shared" si="7"/>
        <v>0</v>
      </c>
      <c r="I114" s="567"/>
      <c r="J114" s="567">
        <f t="shared" si="5"/>
        <v>0</v>
      </c>
      <c r="K114" s="568"/>
    </row>
    <row r="115" spans="4:11" ht="14.25" thickBot="1">
      <c r="D115" s="67"/>
      <c r="F115" s="430" t="s">
        <v>138</v>
      </c>
      <c r="G115" s="431">
        <f t="shared" si="6"/>
        <v>107930</v>
      </c>
      <c r="H115" s="569">
        <f>SUMIF($E$4:$E$103,F115,$M$4:$M$103)+'1-3'!F121</f>
        <v>11000</v>
      </c>
      <c r="I115" s="569"/>
      <c r="J115" s="569">
        <f t="shared" si="5"/>
        <v>96930</v>
      </c>
      <c r="K115" s="570"/>
    </row>
    <row r="116" spans="4:11" ht="15" thickBot="1" thickTop="1">
      <c r="D116" s="47"/>
      <c r="F116" s="428" t="s">
        <v>15</v>
      </c>
      <c r="G116" s="429">
        <f>SUM(G107:G115)</f>
        <v>1190000</v>
      </c>
      <c r="H116" s="571">
        <f>SUM(H107:I115)</f>
        <v>11000</v>
      </c>
      <c r="I116" s="571"/>
      <c r="J116" s="571">
        <f>SUM(J107:K115)</f>
        <v>1179000</v>
      </c>
      <c r="K116" s="57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58" r:id="rId3"/>
  <headerFooter>
    <oddHeader>&amp;R（様式１－２）</oddHeader>
  </headerFooter>
  <rowBreaks count="1" manualBreakCount="1">
    <brk id="47" max="11" man="1"/>
  </rowBreaks>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9" activePane="bottomLeft" state="frozen"/>
      <selection pane="topLeft" activeCell="B16" sqref="B16:K23"/>
      <selection pane="bottomLeft" activeCell="E29" sqref="E2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6">
        <f>SUM(E4:E118)</f>
        <v>85890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272</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272</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5000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85890</v>
      </c>
    </row>
    <row r="121" spans="4:6" ht="15" customHeight="1">
      <c r="D121" s="80"/>
      <c r="E121" s="39" t="s">
        <v>176</v>
      </c>
      <c r="F121" s="184">
        <f>SUMIF(F4:F118,"◎",E4:E118)</f>
        <v>11000</v>
      </c>
    </row>
    <row r="122" spans="4:6" ht="15" customHeight="1" thickBot="1">
      <c r="D122" s="80"/>
      <c r="E122" s="82" t="s">
        <v>13</v>
      </c>
      <c r="F122" s="185">
        <f>F120-F121</f>
        <v>74890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1" t="s">
        <v>300</v>
      </c>
      <c r="I1" s="501"/>
      <c r="J1" s="501"/>
      <c r="K1" s="501"/>
    </row>
    <row r="2" spans="8:11" s="1" customFormat="1" ht="18" customHeight="1">
      <c r="H2" s="501" t="s">
        <v>317</v>
      </c>
      <c r="I2" s="501"/>
      <c r="J2" s="501"/>
      <c r="K2" s="501"/>
    </row>
    <row r="3" s="1" customFormat="1" ht="18" customHeight="1">
      <c r="K3" s="2"/>
    </row>
    <row r="4" spans="8:11" s="1" customFormat="1" ht="18" customHeight="1">
      <c r="H4" s="502" t="s">
        <v>318</v>
      </c>
      <c r="I4" s="502"/>
      <c r="J4" s="502"/>
      <c r="K4" s="502"/>
    </row>
    <row r="5" spans="8:11" s="1" customFormat="1" ht="18" customHeight="1">
      <c r="H5" s="503">
        <v>42971</v>
      </c>
      <c r="I5" s="502"/>
      <c r="J5" s="502"/>
      <c r="K5" s="502"/>
    </row>
    <row r="6" spans="1:11" s="1" customFormat="1" ht="18" customHeight="1">
      <c r="A6" s="3" t="s">
        <v>2</v>
      </c>
      <c r="H6" s="4"/>
      <c r="K6" s="11"/>
    </row>
    <row r="7" spans="1:11" s="1" customFormat="1" ht="18" customHeight="1">
      <c r="A7" s="4"/>
      <c r="H7" s="502" t="s">
        <v>273</v>
      </c>
      <c r="I7" s="502"/>
      <c r="J7" s="502"/>
      <c r="K7" s="502"/>
    </row>
    <row r="8" spans="1:11" s="1" customFormat="1" ht="18" customHeight="1">
      <c r="A8" s="4"/>
      <c r="H8" s="502" t="s">
        <v>319</v>
      </c>
      <c r="I8" s="502"/>
      <c r="J8" s="502"/>
      <c r="K8" s="502"/>
    </row>
    <row r="9" spans="1:11" s="1" customFormat="1" ht="42" customHeight="1">
      <c r="A9" s="4"/>
      <c r="H9" s="2"/>
      <c r="K9" s="46"/>
    </row>
    <row r="10" spans="1:11" ht="24" customHeight="1">
      <c r="A10" s="490" t="s">
        <v>259</v>
      </c>
      <c r="B10" s="490"/>
      <c r="C10" s="490"/>
      <c r="D10" s="490"/>
      <c r="E10" s="490"/>
      <c r="F10" s="490"/>
      <c r="G10" s="490"/>
      <c r="H10" s="490"/>
      <c r="I10" s="490"/>
      <c r="J10" s="490"/>
      <c r="K10" s="490"/>
    </row>
    <row r="11" spans="1:11" ht="24" customHeight="1">
      <c r="A11" s="491"/>
      <c r="B11" s="491"/>
      <c r="C11" s="491"/>
      <c r="D11" s="491"/>
      <c r="E11" s="491"/>
      <c r="F11" s="491"/>
      <c r="G11" s="491"/>
      <c r="H11" s="491"/>
      <c r="I11" s="491"/>
      <c r="J11" s="491"/>
      <c r="K11" s="49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7">
        <f>'1-1'!D14:F14</f>
        <v>1190000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5">
        <f>'随時②-1'!B20</f>
        <v>130000</v>
      </c>
      <c r="C16" s="226">
        <f>'随時②-1'!C20</f>
        <v>205000</v>
      </c>
      <c r="D16" s="226">
        <f>'随時②-1'!D20</f>
        <v>747070</v>
      </c>
      <c r="E16" s="226">
        <f>'随時②-1'!E20</f>
        <v>0</v>
      </c>
      <c r="F16" s="226">
        <f>'随時②-1'!F20</f>
        <v>0</v>
      </c>
      <c r="G16" s="226">
        <f>'随時②-1'!G20</f>
        <v>0</v>
      </c>
      <c r="H16" s="226">
        <f>'随時②-1'!H20</f>
        <v>0</v>
      </c>
      <c r="I16" s="226">
        <f>'随時②-1'!I20</f>
        <v>0</v>
      </c>
      <c r="J16" s="227">
        <f>'随時②-1'!J20</f>
        <v>107930</v>
      </c>
      <c r="K16" s="435">
        <f aca="true" t="shared" si="0" ref="K16:K26">SUM(B16:J16)</f>
        <v>1190000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5">
        <f t="shared" si="0"/>
        <v>11000</v>
      </c>
    </row>
    <row r="18" spans="1:11" ht="39" customHeight="1" thickBot="1">
      <c r="A18" s="30" t="s">
        <v>106</v>
      </c>
      <c r="B18" s="225">
        <f>B16-B17</f>
        <v>130000</v>
      </c>
      <c r="C18" s="226">
        <f>C16-C17</f>
        <v>205000</v>
      </c>
      <c r="D18" s="226">
        <f aca="true" t="shared" si="1" ref="D18:J18">D16-D17</f>
        <v>747070</v>
      </c>
      <c r="E18" s="226">
        <f t="shared" si="1"/>
        <v>0</v>
      </c>
      <c r="F18" s="226">
        <f t="shared" si="1"/>
        <v>0</v>
      </c>
      <c r="G18" s="226">
        <f t="shared" si="1"/>
        <v>0</v>
      </c>
      <c r="H18" s="226">
        <f t="shared" si="1"/>
        <v>0</v>
      </c>
      <c r="I18" s="226">
        <f t="shared" si="1"/>
        <v>0</v>
      </c>
      <c r="J18" s="226">
        <f t="shared" si="1"/>
        <v>96930</v>
      </c>
      <c r="K18" s="435">
        <f t="shared" si="0"/>
        <v>1179000</v>
      </c>
    </row>
    <row r="19" spans="1:11" ht="39" customHeight="1" thickBot="1">
      <c r="A19" s="32" t="s">
        <v>174</v>
      </c>
      <c r="B19" s="443">
        <f>'2-2'!K142</f>
        <v>115000</v>
      </c>
      <c r="C19" s="444">
        <f>'2-2'!K143</f>
        <v>189950</v>
      </c>
      <c r="D19" s="444">
        <f>'2-2'!K144</f>
        <v>747070</v>
      </c>
      <c r="E19" s="444">
        <f>'2-2'!K145</f>
        <v>0</v>
      </c>
      <c r="F19" s="444">
        <f>'2-2'!K146</f>
        <v>0</v>
      </c>
      <c r="G19" s="444">
        <f>'2-2'!K147</f>
        <v>0</v>
      </c>
      <c r="H19" s="444">
        <f>'2-2'!K148</f>
        <v>0</v>
      </c>
      <c r="I19" s="444">
        <f>'2-2'!K149</f>
        <v>0</v>
      </c>
      <c r="J19" s="448">
        <f>'2-2'!K150</f>
        <v>94930</v>
      </c>
      <c r="K19" s="445">
        <f t="shared" si="0"/>
        <v>1146950</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115000</v>
      </c>
      <c r="C21" s="323">
        <f>C19-C20</f>
        <v>189950</v>
      </c>
      <c r="D21" s="323">
        <f aca="true" t="shared" si="2" ref="D21:J21">D19-D20</f>
        <v>747070</v>
      </c>
      <c r="E21" s="323">
        <f t="shared" si="2"/>
        <v>0</v>
      </c>
      <c r="F21" s="323">
        <f t="shared" si="2"/>
        <v>0</v>
      </c>
      <c r="G21" s="323">
        <f t="shared" si="2"/>
        <v>0</v>
      </c>
      <c r="H21" s="323">
        <f t="shared" si="2"/>
        <v>0</v>
      </c>
      <c r="I21" s="323">
        <f t="shared" si="2"/>
        <v>0</v>
      </c>
      <c r="J21" s="323">
        <f t="shared" si="2"/>
        <v>83930</v>
      </c>
      <c r="K21" s="438">
        <f t="shared" si="0"/>
        <v>1135950</v>
      </c>
    </row>
    <row r="22" spans="1:11" ht="39" customHeight="1" thickBot="1">
      <c r="A22" s="32" t="s">
        <v>117</v>
      </c>
      <c r="B22" s="443">
        <f>B18-B21</f>
        <v>15000</v>
      </c>
      <c r="C22" s="443">
        <f aca="true" t="shared" si="3" ref="C22:J22">C18-C21</f>
        <v>15050</v>
      </c>
      <c r="D22" s="443">
        <f t="shared" si="3"/>
        <v>0</v>
      </c>
      <c r="E22" s="443">
        <f t="shared" si="3"/>
        <v>0</v>
      </c>
      <c r="F22" s="443">
        <f t="shared" si="3"/>
        <v>0</v>
      </c>
      <c r="G22" s="443">
        <f t="shared" si="3"/>
        <v>0</v>
      </c>
      <c r="H22" s="443">
        <f t="shared" si="3"/>
        <v>0</v>
      </c>
      <c r="I22" s="443">
        <f t="shared" si="3"/>
        <v>0</v>
      </c>
      <c r="J22" s="443">
        <f t="shared" si="3"/>
        <v>13000</v>
      </c>
      <c r="K22" s="445">
        <f t="shared" si="0"/>
        <v>43050</v>
      </c>
    </row>
    <row r="23" spans="1:11" ht="39" customHeight="1">
      <c r="A23" s="30" t="s">
        <v>167</v>
      </c>
      <c r="B23" s="226">
        <f>'2-4'!G107</f>
        <v>105000</v>
      </c>
      <c r="C23" s="226">
        <f>'2-4'!G108</f>
        <v>103120</v>
      </c>
      <c r="D23" s="226">
        <f>'2-4'!G109</f>
        <v>762290</v>
      </c>
      <c r="E23" s="226">
        <f>'2-4'!G110</f>
        <v>0</v>
      </c>
      <c r="F23" s="226">
        <f>'2-4'!G111</f>
        <v>0</v>
      </c>
      <c r="G23" s="226">
        <f>'2-4'!G112</f>
        <v>0</v>
      </c>
      <c r="H23" s="226">
        <f>'2-4'!G113</f>
        <v>0</v>
      </c>
      <c r="I23" s="226">
        <f>'2-4'!G114</f>
        <v>0</v>
      </c>
      <c r="J23" s="226">
        <f>'2-4'!G115</f>
        <v>19000</v>
      </c>
      <c r="K23" s="435">
        <f t="shared" si="0"/>
        <v>989410</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38">
        <f t="shared" si="0"/>
        <v>0</v>
      </c>
    </row>
    <row r="25" spans="1:11" ht="39" customHeight="1">
      <c r="A25" s="21" t="s">
        <v>120</v>
      </c>
      <c r="B25" s="436">
        <f>B23-B24-B22</f>
        <v>90000</v>
      </c>
      <c r="C25" s="436">
        <f aca="true" t="shared" si="4" ref="C25:J25">C23-C24-C22</f>
        <v>88070</v>
      </c>
      <c r="D25" s="436">
        <f t="shared" si="4"/>
        <v>762290</v>
      </c>
      <c r="E25" s="436">
        <f t="shared" si="4"/>
        <v>0</v>
      </c>
      <c r="F25" s="436">
        <f t="shared" si="4"/>
        <v>0</v>
      </c>
      <c r="G25" s="436">
        <f t="shared" si="4"/>
        <v>0</v>
      </c>
      <c r="H25" s="436">
        <f t="shared" si="4"/>
        <v>0</v>
      </c>
      <c r="I25" s="436">
        <f t="shared" si="4"/>
        <v>0</v>
      </c>
      <c r="J25" s="436">
        <f t="shared" si="4"/>
        <v>6000</v>
      </c>
      <c r="K25" s="438">
        <f t="shared" si="0"/>
        <v>946360</v>
      </c>
    </row>
    <row r="26" spans="1:11" ht="39" customHeight="1" thickBot="1">
      <c r="A26" s="22" t="s">
        <v>118</v>
      </c>
      <c r="B26" s="221">
        <f>B19+B23</f>
        <v>220000</v>
      </c>
      <c r="C26" s="221">
        <f aca="true" t="shared" si="5" ref="C26:J26">C19+C23</f>
        <v>293070</v>
      </c>
      <c r="D26" s="221">
        <f t="shared" si="5"/>
        <v>1509360</v>
      </c>
      <c r="E26" s="221">
        <f t="shared" si="5"/>
        <v>0</v>
      </c>
      <c r="F26" s="221">
        <f t="shared" si="5"/>
        <v>0</v>
      </c>
      <c r="G26" s="221">
        <f t="shared" si="5"/>
        <v>0</v>
      </c>
      <c r="H26" s="221">
        <f t="shared" si="5"/>
        <v>0</v>
      </c>
      <c r="I26" s="221">
        <f t="shared" si="5"/>
        <v>0</v>
      </c>
      <c r="J26" s="221">
        <f t="shared" si="5"/>
        <v>113930</v>
      </c>
      <c r="K26" s="224">
        <f t="shared" si="0"/>
        <v>2136360</v>
      </c>
    </row>
    <row r="27" spans="1:11" ht="39" customHeight="1" thickBot="1">
      <c r="A27" s="32" t="s">
        <v>104</v>
      </c>
      <c r="B27" s="557" t="s">
        <v>122</v>
      </c>
      <c r="C27" s="557"/>
      <c r="D27" s="557"/>
      <c r="E27" s="557"/>
      <c r="F27" s="557"/>
      <c r="G27" s="557"/>
      <c r="H27" s="557"/>
      <c r="I27" s="557"/>
      <c r="J27" s="557"/>
      <c r="K27" s="55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M18" sqref="M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4" t="s">
        <v>143</v>
      </c>
      <c r="G2" s="595"/>
      <c r="H2" s="595"/>
      <c r="I2" s="595"/>
      <c r="J2" s="595"/>
      <c r="K2" s="546" t="s">
        <v>115</v>
      </c>
      <c r="L2" s="544"/>
      <c r="M2" s="544"/>
      <c r="N2" s="544"/>
      <c r="O2" s="545"/>
      <c r="P2" s="13"/>
    </row>
    <row r="3" spans="1:21" ht="24" customHeight="1">
      <c r="A3" s="424" t="s">
        <v>141</v>
      </c>
      <c r="B3" s="301"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9" t="s">
        <v>111</v>
      </c>
      <c r="Q3" s="297" t="s">
        <v>107</v>
      </c>
      <c r="R3" s="62" t="s">
        <v>148</v>
      </c>
      <c r="S3" s="61" t="s">
        <v>149</v>
      </c>
      <c r="T3" s="61" t="s">
        <v>150</v>
      </c>
      <c r="U3" s="61" t="s">
        <v>151</v>
      </c>
    </row>
    <row r="4" spans="1:21" ht="13.5" customHeight="1">
      <c r="A4" s="302">
        <f>'1-2'!A4</f>
        <v>0</v>
      </c>
      <c r="B4" s="303">
        <f>'1-2'!B4</f>
        <v>0</v>
      </c>
      <c r="C4" s="480">
        <f>'1-2'!C4</f>
        <v>0</v>
      </c>
      <c r="D4" s="245">
        <v>1</v>
      </c>
      <c r="E4" s="304" t="str">
        <f>IF($R4=1,"",VLOOKUP($D4,'1-2'!$D$4:$L$103,2))</f>
        <v>負担金、補助及び交付金</v>
      </c>
      <c r="F4" s="304" t="str">
        <f>IF($R4=1,"取消し",VLOOKUP($D4,'1-2'!$D$4:$L$103,3))</f>
        <v>各種団体負担金（会費）</v>
      </c>
      <c r="G4" s="305">
        <f>IF($R4=1,,VLOOKUP($D4,'1-2'!$D$4:$L$103,4))</f>
        <v>85890</v>
      </c>
      <c r="H4" s="306">
        <f>IF($R4=1,,VLOOKUP($D4,'1-2'!$D$4:$L$103,5))</f>
        <v>1</v>
      </c>
      <c r="I4" s="306">
        <f>IF($R4=1,,VLOOKUP($D4,'1-2'!$D$4:$L$103,6))</f>
        <v>1</v>
      </c>
      <c r="J4" s="307">
        <f>IF($R4=1,,VLOOKUP($D4,'1-2'!$D$4:$L$103,7))</f>
        <v>85890</v>
      </c>
      <c r="K4" s="308" t="str">
        <f aca="true" t="shared" si="0" ref="K4:N5">F4</f>
        <v>各種団体負担金（会費）</v>
      </c>
      <c r="L4" s="309">
        <v>72890</v>
      </c>
      <c r="M4" s="310">
        <f t="shared" si="0"/>
        <v>1</v>
      </c>
      <c r="N4" s="310">
        <f t="shared" si="0"/>
        <v>1</v>
      </c>
      <c r="O4" s="311">
        <f>L4*M4*N4</f>
        <v>72890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0</v>
      </c>
      <c r="B5" s="315" t="str">
        <f>'1-2'!B5</f>
        <v>1（１）ウ</v>
      </c>
      <c r="C5" s="481" t="str">
        <f>'1-2'!C5</f>
        <v>専門性の向上</v>
      </c>
      <c r="D5" s="256">
        <v>2</v>
      </c>
      <c r="E5" s="316" t="str">
        <f>IF($R5=1,"",VLOOKUP($D5,'1-2'!$D$4:$L$103,2))</f>
        <v>消耗需用費</v>
      </c>
      <c r="F5" s="317" t="str">
        <f>IF($R5=1,"取消し",VLOOKUP($D5,'1-2'!$D$4:$L$103,3))</f>
        <v>命と性の授業セット等物品購入【消耗品）</v>
      </c>
      <c r="G5" s="226">
        <f>IF($R5=1,,VLOOKUP($D5,'1-2'!$D$4:$L$103,4))</f>
        <v>159840</v>
      </c>
      <c r="H5" s="318">
        <f>IF($R5=1,,VLOOKUP($D5,'1-2'!$D$4:$L$103,5))</f>
        <v>1</v>
      </c>
      <c r="I5" s="318">
        <f>IF($R5=1,,VLOOKUP($D5,'1-2'!$D$4:$L$103,6))</f>
        <v>1</v>
      </c>
      <c r="J5" s="319">
        <f>IF($R5=1,,VLOOKUP($D5,'1-2'!$D$4:$L$103,7))</f>
        <v>159840</v>
      </c>
      <c r="K5" s="320" t="str">
        <f t="shared" si="0"/>
        <v>命と性の授業セット等物品購入【消耗品）</v>
      </c>
      <c r="L5" s="321">
        <v>159840</v>
      </c>
      <c r="M5" s="322">
        <f t="shared" si="0"/>
        <v>1</v>
      </c>
      <c r="N5" s="322">
        <f t="shared" si="0"/>
        <v>1</v>
      </c>
      <c r="O5" s="311">
        <f aca="true" t="shared" si="2" ref="O5:O68">L5*M5*N5</f>
        <v>159840</v>
      </c>
      <c r="P5" s="312">
        <f>IF($R5=1,"",VLOOKUP($D5,'1-2'!$D$4:$L$103,8))</f>
        <v>0</v>
      </c>
      <c r="Q5" s="313" t="str">
        <f>IF($R5=1,"",VLOOKUP($D5,'1-2'!$D$4:$L$103,9))</f>
        <v>別紙明細書のとおり</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4">
        <f>'1-2'!A6</f>
        <v>0</v>
      </c>
      <c r="B6" s="315" t="str">
        <f>'1-2'!B6</f>
        <v>２（２）オ</v>
      </c>
      <c r="C6" s="481" t="str">
        <f>'1-2'!C6</f>
        <v>クリーンタイムの充実</v>
      </c>
      <c r="D6" s="256">
        <v>3</v>
      </c>
      <c r="E6" s="316" t="str">
        <f>IF($R6=1,"",VLOOKUP($D6,'1-2'!$D$4:$L$103,2))</f>
        <v>消耗需用費</v>
      </c>
      <c r="F6" s="317" t="str">
        <f>IF($R6=1,"取消し",VLOOKUP($D6,'1-2'!$D$4:$L$103,3))</f>
        <v>フローリングワイパー60等物品購入【消耗品）</v>
      </c>
      <c r="G6" s="226">
        <f>IF($R6=1,,VLOOKUP($D6,'1-2'!$D$4:$L$103,4))</f>
        <v>30116</v>
      </c>
      <c r="H6" s="318">
        <f>IF($R6=1,,VLOOKUP($D6,'1-2'!$D$4:$L$103,5))</f>
        <v>1</v>
      </c>
      <c r="I6" s="318">
        <f>IF($R6=1,,VLOOKUP($D6,'1-2'!$D$4:$L$103,6))</f>
        <v>1</v>
      </c>
      <c r="J6" s="319">
        <f>IF($R6=1,,VLOOKUP($D6,'1-2'!$D$4:$L$103,7))</f>
        <v>30116</v>
      </c>
      <c r="K6" s="320" t="str">
        <f aca="true" t="shared" si="5" ref="K6:K69">F6</f>
        <v>フローリングワイパー60等物品購入【消耗品）</v>
      </c>
      <c r="L6" s="321">
        <v>30116</v>
      </c>
      <c r="M6" s="322">
        <f aca="true" t="shared" si="6" ref="M6:N10">H6</f>
        <v>1</v>
      </c>
      <c r="N6" s="322">
        <f t="shared" si="6"/>
        <v>1</v>
      </c>
      <c r="O6" s="311">
        <f t="shared" si="2"/>
        <v>30116</v>
      </c>
      <c r="P6" s="312">
        <f>IF($R6=1,"",VLOOKUP($D6,'1-2'!$D$4:$L$103,8))</f>
        <v>0</v>
      </c>
      <c r="Q6" s="313" t="str">
        <f>IF($R6=1,"",VLOOKUP($D6,'1-2'!$D$4:$L$103,9))</f>
        <v>別紙明細書のとおり</v>
      </c>
      <c r="R6" s="25">
        <f>IF(ISNA(MATCH($D6,'随時②-2'!$D$4:$D$18,0)),0,1)</f>
        <v>0</v>
      </c>
      <c r="S6" s="63">
        <f t="shared" si="1"/>
      </c>
      <c r="T6" s="63">
        <f t="shared" si="3"/>
      </c>
      <c r="U6" s="5">
        <f t="shared" si="4"/>
        <v>7</v>
      </c>
      <c r="V6" s="5" t="s">
        <v>153</v>
      </c>
      <c r="W6" s="5">
        <v>4</v>
      </c>
    </row>
    <row r="7" spans="1:23" ht="13.5" customHeight="1">
      <c r="A7" s="314">
        <f>'1-2'!A7</f>
        <v>0</v>
      </c>
      <c r="B7" s="315" t="str">
        <f>'1-2'!B7</f>
        <v>３（３）イ</v>
      </c>
      <c r="C7" s="481" t="str">
        <f>'1-2'!C7</f>
        <v>個別の教育支援計画の充実</v>
      </c>
      <c r="D7" s="256">
        <v>4</v>
      </c>
      <c r="E7" s="316" t="str">
        <f>IF($R7=1,"",VLOOKUP($D7,'1-2'!$D$4:$L$103,2))</f>
        <v>消耗需用費</v>
      </c>
      <c r="F7" s="317" t="str">
        <f>IF($R7=1,"取消し",VLOOKUP($D7,'1-2'!$D$4:$L$103,3))</f>
        <v>新版S-M社会生活能力検査用紙等物品購入【消耗品）</v>
      </c>
      <c r="G7" s="226">
        <f>IF($R7=1,,VLOOKUP($D7,'1-2'!$D$4:$L$103,4))</f>
        <v>64800</v>
      </c>
      <c r="H7" s="318">
        <f>IF($R7=1,,VLOOKUP($D7,'1-2'!$D$4:$L$103,5))</f>
        <v>1</v>
      </c>
      <c r="I7" s="318">
        <f>IF($R7=1,,VLOOKUP($D7,'1-2'!$D$4:$L$103,6))</f>
        <v>1</v>
      </c>
      <c r="J7" s="319">
        <f>IF($R7=1,,VLOOKUP($D7,'1-2'!$D$4:$L$103,7))</f>
        <v>64800</v>
      </c>
      <c r="K7" s="320" t="str">
        <f t="shared" si="5"/>
        <v>新版S-M社会生活能力検査用紙等物品購入【消耗品）</v>
      </c>
      <c r="L7" s="321">
        <v>64800</v>
      </c>
      <c r="M7" s="322">
        <f t="shared" si="6"/>
        <v>1</v>
      </c>
      <c r="N7" s="322">
        <f t="shared" si="6"/>
        <v>1</v>
      </c>
      <c r="O7" s="311">
        <f t="shared" si="2"/>
        <v>64800</v>
      </c>
      <c r="P7" s="312">
        <f>IF($R7=1,"",VLOOKUP($D7,'1-2'!$D$4:$L$103,8))</f>
        <v>0</v>
      </c>
      <c r="Q7" s="313" t="str">
        <f>IF($R7=1,"",VLOOKUP($D7,'1-2'!$D$4:$L$103,9))</f>
        <v>別紙明細書のとおり</v>
      </c>
      <c r="R7" s="25">
        <f>IF(ISNA(MATCH($D7,'随時②-2'!$D$4:$D$18,0)),0,1)</f>
        <v>0</v>
      </c>
      <c r="S7" s="63">
        <f t="shared" si="1"/>
      </c>
      <c r="T7" s="63">
        <f t="shared" si="3"/>
      </c>
      <c r="U7" s="5">
        <f t="shared" si="4"/>
        <v>7</v>
      </c>
      <c r="V7" s="5" t="s">
        <v>154</v>
      </c>
      <c r="W7" s="5">
        <v>7</v>
      </c>
    </row>
    <row r="8" spans="1:23" ht="13.5" customHeight="1">
      <c r="A8" s="314">
        <f>'1-2'!A8</f>
        <v>0</v>
      </c>
      <c r="B8" s="315" t="str">
        <f>'1-2'!B8</f>
        <v>４（１）イ</v>
      </c>
      <c r="C8" s="481" t="str">
        <f>'1-2'!C8</f>
        <v>高床式砂栽培の実践の深化</v>
      </c>
      <c r="D8" s="265">
        <v>5</v>
      </c>
      <c r="E8" s="316" t="str">
        <f>IF($R8=1,"",VLOOKUP($D8,'1-2'!$D$4:$L$103,2))</f>
        <v>消耗需用費</v>
      </c>
      <c r="F8" s="317" t="str">
        <f>IF($R8=1,"取消し",VLOOKUP($D8,'1-2'!$D$4:$L$103,3))</f>
        <v>砂、育苗用シート、ネット等の物品購入【消耗品）</v>
      </c>
      <c r="G8" s="226">
        <f>IF($R8=1,,VLOOKUP($D8,'1-2'!$D$4:$L$103,4))</f>
        <v>101494</v>
      </c>
      <c r="H8" s="318">
        <f>IF($R8=1,,VLOOKUP($D8,'1-2'!$D$4:$L$103,5))</f>
        <v>1</v>
      </c>
      <c r="I8" s="318">
        <f>IF($R8=1,,VLOOKUP($D8,'1-2'!$D$4:$L$103,6))</f>
        <v>1</v>
      </c>
      <c r="J8" s="319">
        <f>IF($R8=1,,VLOOKUP($D8,'1-2'!$D$4:$L$103,7))</f>
        <v>101494</v>
      </c>
      <c r="K8" s="320" t="str">
        <f t="shared" si="5"/>
        <v>砂、育苗用シート、ネット等の物品購入【消耗品）</v>
      </c>
      <c r="L8" s="321">
        <v>101494</v>
      </c>
      <c r="M8" s="322">
        <f t="shared" si="6"/>
        <v>1</v>
      </c>
      <c r="N8" s="322">
        <f t="shared" si="6"/>
        <v>1</v>
      </c>
      <c r="O8" s="311">
        <f t="shared" si="2"/>
        <v>101494</v>
      </c>
      <c r="P8" s="312">
        <f>IF($R8=1,"",VLOOKUP($D8,'1-2'!$D$4:$L$103,8))</f>
        <v>0</v>
      </c>
      <c r="Q8" s="313" t="str">
        <f>IF($R8=1,"",VLOOKUP($D8,'1-2'!$D$4:$L$103,9))</f>
        <v>別紙明細書のとおり</v>
      </c>
      <c r="R8" s="25">
        <f>IF(ISNA(MATCH($D8,'随時②-2'!$D$4:$D$18,0)),0,1)</f>
        <v>0</v>
      </c>
      <c r="S8" s="63">
        <f t="shared" si="1"/>
      </c>
      <c r="T8" s="63">
        <f t="shared" si="3"/>
      </c>
      <c r="U8" s="5">
        <f t="shared" si="4"/>
        <v>7</v>
      </c>
      <c r="V8" s="5" t="s">
        <v>155</v>
      </c>
      <c r="W8" s="5">
        <v>3</v>
      </c>
    </row>
    <row r="9" spans="1:23" ht="13.5" customHeight="1">
      <c r="A9" s="314">
        <f>'1-2'!A9</f>
        <v>0</v>
      </c>
      <c r="B9" s="315" t="str">
        <f>'1-2'!B9</f>
        <v>４（２）エ</v>
      </c>
      <c r="C9" s="481" t="str">
        <f>'1-2'!C9</f>
        <v>進路指導の充実・発展</v>
      </c>
      <c r="D9" s="256">
        <v>6</v>
      </c>
      <c r="E9" s="316" t="str">
        <f>IF($R9=1,"",VLOOKUP($D9,'1-2'!$D$4:$L$103,2))</f>
        <v>消耗需用費</v>
      </c>
      <c r="F9" s="317" t="str">
        <f>IF($R9=1,"取消し",VLOOKUP($D9,'1-2'!$D$4:$L$103,3))</f>
        <v>ｲﾝﾊﾟｸﾄﾄﾞﾗｲﾊﾞｰ補修ｾｯﾄ等の物品購入(消耗品)</v>
      </c>
      <c r="G9" s="226">
        <f>IF($R9=1,,VLOOKUP($D9,'1-2'!$D$4:$L$103,4))</f>
        <v>153599</v>
      </c>
      <c r="H9" s="318">
        <f>IF($R9=1,,VLOOKUP($D9,'1-2'!$D$4:$L$103,5))</f>
        <v>1</v>
      </c>
      <c r="I9" s="318">
        <f>IF($R9=1,,VLOOKUP($D9,'1-2'!$D$4:$L$103,6))</f>
        <v>1</v>
      </c>
      <c r="J9" s="319">
        <f>IF($R9=1,,VLOOKUP($D9,'1-2'!$D$4:$L$103,7))</f>
        <v>153599</v>
      </c>
      <c r="K9" s="320" t="str">
        <f t="shared" si="5"/>
        <v>ｲﾝﾊﾟｸﾄﾄﾞﾗｲﾊﾞｰ補修ｾｯﾄ等の物品購入(消耗品)</v>
      </c>
      <c r="L9" s="321">
        <v>153599</v>
      </c>
      <c r="M9" s="322">
        <f t="shared" si="6"/>
        <v>1</v>
      </c>
      <c r="N9" s="322">
        <f t="shared" si="6"/>
        <v>1</v>
      </c>
      <c r="O9" s="311">
        <f t="shared" si="2"/>
        <v>153599</v>
      </c>
      <c r="P9" s="312">
        <f>IF($R9=1,"",VLOOKUP($D9,'1-2'!$D$4:$L$103,8))</f>
        <v>0</v>
      </c>
      <c r="Q9" s="313" t="str">
        <f>IF($R9=1,"",VLOOKUP($D9,'1-2'!$D$4:$L$103,9))</f>
        <v>別紙明細書のとおり</v>
      </c>
      <c r="R9" s="25">
        <f>IF(ISNA(MATCH($D9,'随時②-2'!$D$4:$D$18,0)),0,1)</f>
        <v>0</v>
      </c>
      <c r="S9" s="63">
        <f t="shared" si="1"/>
      </c>
      <c r="T9" s="63">
        <f t="shared" si="3"/>
      </c>
      <c r="U9" s="5">
        <f t="shared" si="4"/>
        <v>7</v>
      </c>
      <c r="V9" s="5" t="s">
        <v>156</v>
      </c>
      <c r="W9" s="5">
        <v>8</v>
      </c>
    </row>
    <row r="10" spans="1:23" ht="13.5" customHeight="1">
      <c r="A10" s="314">
        <f>'1-2'!A10</f>
        <v>0</v>
      </c>
      <c r="B10" s="315" t="str">
        <f>'1-2'!B10</f>
        <v>５（２）エ</v>
      </c>
      <c r="C10" s="481" t="str">
        <f>'1-2'!C10</f>
        <v>学校間交流の推進</v>
      </c>
      <c r="D10" s="256">
        <v>7</v>
      </c>
      <c r="E10" s="316" t="str">
        <f>IF($R10=1,"",VLOOKUP($D10,'1-2'!$D$4:$L$103,2))</f>
        <v>消耗需用費</v>
      </c>
      <c r="F10" s="317" t="str">
        <f>IF($R10=1,"取消し",VLOOKUP($D10,'1-2'!$D$4:$L$103,3))</f>
        <v>学校ユニフォーム（ｻｯｶｰ等）の物品購入【消耗品）</v>
      </c>
      <c r="G10" s="226">
        <f>IF($R10=1,,VLOOKUP($D10,'1-2'!$D$4:$L$103,4))</f>
        <v>190008</v>
      </c>
      <c r="H10" s="318">
        <f>IF($R10=1,,VLOOKUP($D10,'1-2'!$D$4:$L$103,5))</f>
        <v>1</v>
      </c>
      <c r="I10" s="318">
        <f>IF($R10=1,,VLOOKUP($D10,'1-2'!$D$4:$L$103,6))</f>
        <v>1</v>
      </c>
      <c r="J10" s="319">
        <f>IF($R10=1,,VLOOKUP($D10,'1-2'!$D$4:$L$103,7))</f>
        <v>190008</v>
      </c>
      <c r="K10" s="320" t="str">
        <f t="shared" si="5"/>
        <v>学校ユニフォーム（ｻｯｶｰ等）の物品購入【消耗品）</v>
      </c>
      <c r="L10" s="321">
        <v>190008</v>
      </c>
      <c r="M10" s="322">
        <f t="shared" si="6"/>
        <v>1</v>
      </c>
      <c r="N10" s="322">
        <f t="shared" si="6"/>
        <v>1</v>
      </c>
      <c r="O10" s="311">
        <f t="shared" si="2"/>
        <v>190008</v>
      </c>
      <c r="P10" s="312">
        <f>IF($R10=1,"",VLOOKUP($D10,'1-2'!$D$4:$L$103,8))</f>
        <v>0</v>
      </c>
      <c r="Q10" s="313" t="str">
        <f>IF($R10=1,"",VLOOKUP($D10,'1-2'!$D$4:$L$103,9))</f>
        <v>別紙明細書のとおり</v>
      </c>
      <c r="R10" s="25">
        <f>IF(ISNA(MATCH($D10,'随時②-2'!$D$4:$D$18,0)),0,1)</f>
        <v>0</v>
      </c>
      <c r="S10" s="63">
        <f t="shared" si="1"/>
      </c>
      <c r="T10" s="63">
        <f t="shared" si="3"/>
      </c>
      <c r="U10" s="5">
        <f t="shared" si="4"/>
        <v>7</v>
      </c>
      <c r="V10" s="5" t="s">
        <v>160</v>
      </c>
      <c r="W10" s="5">
        <v>9</v>
      </c>
    </row>
    <row r="11" spans="1:23" ht="13.5" customHeight="1">
      <c r="A11" s="314">
        <f>'1-2'!A11</f>
        <v>0</v>
      </c>
      <c r="B11" s="315" t="str">
        <f>'1-2'!B11</f>
        <v>５（２）オ</v>
      </c>
      <c r="C11" s="481" t="str">
        <f>'1-2'!C11</f>
        <v>ロートギャラリーの実地</v>
      </c>
      <c r="D11" s="265">
        <v>8</v>
      </c>
      <c r="E11" s="316" t="str">
        <f>IF($R11=1,"",VLOOKUP($D11,'1-2'!$D$4:$L$103,2))</f>
        <v>消耗需用費</v>
      </c>
      <c r="F11" s="317" t="str">
        <f>IF($R11=1,"取消し",VLOOKUP($D11,'1-2'!$D$4:$L$103,3))</f>
        <v>屋外用展示フレーム等の物品購入【消耗品）</v>
      </c>
      <c r="G11" s="226">
        <f>IF($R11=1,,VLOOKUP($D11,'1-2'!$D$4:$L$103,4))</f>
        <v>40253</v>
      </c>
      <c r="H11" s="318">
        <f>IF($R11=1,,VLOOKUP($D11,'1-2'!$D$4:$L$103,5))</f>
        <v>1</v>
      </c>
      <c r="I11" s="318">
        <f>IF($R11=1,,VLOOKUP($D11,'1-2'!$D$4:$L$103,6))</f>
        <v>1</v>
      </c>
      <c r="J11" s="319">
        <f>IF($R11=1,,VLOOKUP($D11,'1-2'!$D$4:$L$103,7))</f>
        <v>40253</v>
      </c>
      <c r="K11" s="320" t="str">
        <f t="shared" si="5"/>
        <v>屋外用展示フレーム等の物品購入【消耗品）</v>
      </c>
      <c r="L11" s="321">
        <v>40253</v>
      </c>
      <c r="M11" s="322">
        <f aca="true" t="shared" si="7" ref="M11:M74">H11</f>
        <v>1</v>
      </c>
      <c r="N11" s="322">
        <f aca="true" t="shared" si="8" ref="N11:N74">I11</f>
        <v>1</v>
      </c>
      <c r="O11" s="311">
        <f t="shared" si="2"/>
        <v>40253</v>
      </c>
      <c r="P11" s="312">
        <f>IF($R11=1,"",VLOOKUP($D11,'1-2'!$D$4:$L$103,8))</f>
        <v>0</v>
      </c>
      <c r="Q11" s="313" t="str">
        <f>IF($R11=1,"",VLOOKUP($D11,'1-2'!$D$4:$L$103,9))</f>
        <v>別紙明細書のとおり</v>
      </c>
      <c r="R11" s="25">
        <f>IF(ISNA(MATCH($D11,'随時②-2'!$D$4:$D$18,0)),0,1)</f>
        <v>0</v>
      </c>
      <c r="S11" s="63">
        <f t="shared" si="1"/>
      </c>
      <c r="T11" s="63">
        <f t="shared" si="3"/>
      </c>
      <c r="U11" s="5">
        <f t="shared" si="4"/>
        <v>7</v>
      </c>
      <c r="V11" s="5" t="s">
        <v>157</v>
      </c>
      <c r="W11" s="5">
        <v>1</v>
      </c>
    </row>
    <row r="12" spans="1:23" ht="13.5" customHeight="1">
      <c r="A12" s="314">
        <f>'1-2'!A12</f>
        <v>0</v>
      </c>
      <c r="B12" s="315" t="str">
        <f>'1-2'!B12</f>
        <v>３（１）</v>
      </c>
      <c r="C12" s="481" t="str">
        <f>'1-2'!C12</f>
        <v>専門性の向上（人材育成）</v>
      </c>
      <c r="D12" s="265">
        <v>9</v>
      </c>
      <c r="E12" s="316" t="str">
        <f>IF($R12=1,"",VLOOKUP($D12,'1-2'!$D$4:$L$103,2))</f>
        <v>旅費</v>
      </c>
      <c r="F12" s="317" t="str">
        <f>IF($R12=1,"取消し",VLOOKUP($D12,'1-2'!$D$4:$L$103,3))</f>
        <v>全国特別支援学校校長会</v>
      </c>
      <c r="G12" s="226">
        <f>IF($R12=1,,VLOOKUP($D12,'1-2'!$D$4:$L$103,4))</f>
        <v>50000</v>
      </c>
      <c r="H12" s="318">
        <f>IF($R12=1,,VLOOKUP($D12,'1-2'!$D$4:$L$103,5))</f>
        <v>1</v>
      </c>
      <c r="I12" s="318">
        <f>IF($R12=1,,VLOOKUP($D12,'1-2'!$D$4:$L$103,6))</f>
        <v>1</v>
      </c>
      <c r="J12" s="319">
        <f>IF($R12=1,,VLOOKUP($D12,'1-2'!$D$4:$L$103,7))</f>
        <v>50000</v>
      </c>
      <c r="K12" s="320" t="str">
        <f t="shared" si="5"/>
        <v>全国特別支援学校校長会</v>
      </c>
      <c r="L12" s="321">
        <v>50000</v>
      </c>
      <c r="M12" s="322">
        <f t="shared" si="7"/>
        <v>1</v>
      </c>
      <c r="N12" s="322">
        <f t="shared" si="8"/>
        <v>1</v>
      </c>
      <c r="O12" s="311">
        <f t="shared" si="2"/>
        <v>50000</v>
      </c>
      <c r="P12" s="312">
        <f>IF($R12=1,"",VLOOKUP($D12,'1-2'!$D$4:$L$103,8))</f>
        <v>0</v>
      </c>
      <c r="Q12" s="313">
        <f>IF($R12=1,"",VLOOKUP($D12,'1-2'!$D$4:$L$103,9))</f>
        <v>0</v>
      </c>
      <c r="R12" s="25">
        <f>IF(ISNA(MATCH($D12,'随時②-2'!$D$4:$D$18,0)),0,1)</f>
        <v>0</v>
      </c>
      <c r="S12" s="63">
        <f t="shared" si="1"/>
      </c>
      <c r="T12" s="63">
        <f t="shared" si="3"/>
      </c>
      <c r="U12" s="5">
        <f t="shared" si="4"/>
        <v>2</v>
      </c>
      <c r="V12" s="5" t="s">
        <v>158</v>
      </c>
      <c r="W12" s="5">
        <v>5</v>
      </c>
    </row>
    <row r="13" spans="1:23" ht="13.5" customHeight="1">
      <c r="A13" s="314">
        <f>'1-2'!A13</f>
        <v>0</v>
      </c>
      <c r="B13" s="315" t="str">
        <f>'1-2'!B13</f>
        <v>３（１）</v>
      </c>
      <c r="C13" s="481" t="str">
        <f>'1-2'!C13</f>
        <v>専門性の向上（人材育成）</v>
      </c>
      <c r="D13" s="275">
        <v>10</v>
      </c>
      <c r="E13" s="316" t="str">
        <f>IF($R13=1,"",VLOOKUP($D13,'1-2'!$D$4:$L$103,2))</f>
        <v>旅費</v>
      </c>
      <c r="F13" s="317" t="str">
        <f>IF($R13=1,"取消し",VLOOKUP($D13,'1-2'!$D$4:$L$103,3))</f>
        <v>全国特別支援学校知的障害教育教頭会研究会</v>
      </c>
      <c r="G13" s="226">
        <f>IF($R13=1,,VLOOKUP($D13,'1-2'!$D$4:$L$103,4))</f>
        <v>35000</v>
      </c>
      <c r="H13" s="318">
        <f>IF($R13=1,,VLOOKUP($D13,'1-2'!$D$4:$L$103,5))</f>
        <v>1</v>
      </c>
      <c r="I13" s="318">
        <f>IF($R13=1,,VLOOKUP($D13,'1-2'!$D$4:$L$103,6))</f>
        <v>1</v>
      </c>
      <c r="J13" s="319">
        <f>IF($R13=1,,VLOOKUP($D13,'1-2'!$D$4:$L$103,7))</f>
        <v>35000</v>
      </c>
      <c r="K13" s="320" t="str">
        <f t="shared" si="5"/>
        <v>全国特別支援学校知的障害教育教頭会研究会</v>
      </c>
      <c r="L13" s="321">
        <v>20980</v>
      </c>
      <c r="M13" s="322">
        <f t="shared" si="7"/>
        <v>1</v>
      </c>
      <c r="N13" s="322">
        <f t="shared" si="8"/>
        <v>1</v>
      </c>
      <c r="O13" s="311">
        <f t="shared" si="2"/>
        <v>20980</v>
      </c>
      <c r="P13" s="312">
        <f>IF($R13=1,"",VLOOKUP($D13,'1-2'!$D$4:$L$103,8))</f>
        <v>0</v>
      </c>
      <c r="Q13" s="313">
        <f>IF($R13=1,"",VLOOKUP($D13,'1-2'!$D$4:$L$103,9))</f>
        <v>0</v>
      </c>
      <c r="R13" s="25">
        <f>IF(ISNA(MATCH($D13,'随時②-2'!$D$4:$D$18,0)),0,1)</f>
        <v>0</v>
      </c>
      <c r="S13" s="63">
        <f t="shared" si="1"/>
      </c>
      <c r="T13" s="63">
        <f t="shared" si="3"/>
      </c>
      <c r="U13" s="5">
        <f t="shared" si="4"/>
        <v>2</v>
      </c>
      <c r="V13" s="5" t="s">
        <v>159</v>
      </c>
      <c r="W13" s="5">
        <v>2</v>
      </c>
    </row>
    <row r="14" spans="1:21" ht="13.5" customHeight="1">
      <c r="A14" s="314">
        <f>'1-2'!A14</f>
        <v>0</v>
      </c>
      <c r="B14" s="315" t="str">
        <f>'1-2'!B14</f>
        <v>３（１）</v>
      </c>
      <c r="C14" s="481" t="str">
        <f>'1-2'!C14</f>
        <v>専門性の向上（人材育成）</v>
      </c>
      <c r="D14" s="256">
        <v>11</v>
      </c>
      <c r="E14" s="316" t="str">
        <f>IF($R14=1,"",VLOOKUP($D14,'1-2'!$D$4:$L$103,2))</f>
        <v>報償費</v>
      </c>
      <c r="F14" s="317" t="str">
        <f>IF($R14=1,"取消し",VLOOKUP($D14,'1-2'!$D$4:$L$103,3))</f>
        <v>性教育研修</v>
      </c>
      <c r="G14" s="226">
        <f>IF($R14=1,,VLOOKUP($D14,'1-2'!$D$4:$L$103,4))</f>
        <v>20000</v>
      </c>
      <c r="H14" s="318">
        <f>IF($R14=1,,VLOOKUP($D14,'1-2'!$D$4:$L$103,5))</f>
        <v>1</v>
      </c>
      <c r="I14" s="318">
        <f>IF($R14=1,,VLOOKUP($D14,'1-2'!$D$4:$L$103,6))</f>
        <v>1</v>
      </c>
      <c r="J14" s="319">
        <f>IF($R14=1,,VLOOKUP($D14,'1-2'!$D$4:$L$103,7))</f>
        <v>20000</v>
      </c>
      <c r="K14" s="320" t="str">
        <f t="shared" si="5"/>
        <v>性教育研修</v>
      </c>
      <c r="L14" s="321">
        <v>20000</v>
      </c>
      <c r="M14" s="322">
        <f t="shared" si="7"/>
        <v>1</v>
      </c>
      <c r="N14" s="322">
        <f t="shared" si="8"/>
        <v>1</v>
      </c>
      <c r="O14" s="311">
        <f t="shared" si="2"/>
        <v>20000</v>
      </c>
      <c r="P14" s="312">
        <f>IF($R14=1,"",VLOOKUP($D14,'1-2'!$D$4:$L$103,8))</f>
        <v>0</v>
      </c>
      <c r="Q14" s="313">
        <f>IF($R14=1,"",VLOOKUP($D14,'1-2'!$D$4:$L$103,9))</f>
        <v>0</v>
      </c>
      <c r="R14" s="25">
        <f>IF(ISNA(MATCH($D14,'随時②-2'!$D$4:$D$18,0)),0,1)</f>
        <v>0</v>
      </c>
      <c r="S14" s="63">
        <f t="shared" si="1"/>
      </c>
      <c r="T14" s="63">
        <f t="shared" si="3"/>
      </c>
      <c r="U14" s="5">
        <f t="shared" si="4"/>
        <v>1</v>
      </c>
    </row>
    <row r="15" spans="1:21" ht="13.5" customHeight="1">
      <c r="A15" s="314">
        <f>'1-2'!A15</f>
        <v>0</v>
      </c>
      <c r="B15" s="315" t="str">
        <f>'1-2'!B15</f>
        <v>３（１）</v>
      </c>
      <c r="C15" s="481" t="str">
        <f>'1-2'!C15</f>
        <v>専門性の向上（人材育成）</v>
      </c>
      <c r="D15" s="256">
        <v>12</v>
      </c>
      <c r="E15" s="316" t="str">
        <f>IF($R15=1,"",VLOOKUP($D15,'1-2'!$D$4:$L$103,2))</f>
        <v>報償費</v>
      </c>
      <c r="F15" s="317" t="str">
        <f>IF($R15=1,"取消し",VLOOKUP($D15,'1-2'!$D$4:$L$103,3))</f>
        <v>ビジネスマナー研修</v>
      </c>
      <c r="G15" s="226">
        <f>IF($R15=1,,VLOOKUP($D15,'1-2'!$D$4:$L$103,4))</f>
        <v>10000</v>
      </c>
      <c r="H15" s="318">
        <f>IF($R15=1,,VLOOKUP($D15,'1-2'!$D$4:$L$103,5))</f>
        <v>1</v>
      </c>
      <c r="I15" s="318">
        <f>IF($R15=1,,VLOOKUP($D15,'1-2'!$D$4:$L$103,6))</f>
        <v>1</v>
      </c>
      <c r="J15" s="319">
        <f>IF($R15=1,,VLOOKUP($D15,'1-2'!$D$4:$L$103,7))</f>
        <v>10000</v>
      </c>
      <c r="K15" s="320" t="str">
        <f t="shared" si="5"/>
        <v>ビジネスマナー研修</v>
      </c>
      <c r="L15" s="321">
        <v>10000</v>
      </c>
      <c r="M15" s="322">
        <f t="shared" si="7"/>
        <v>1</v>
      </c>
      <c r="N15" s="322">
        <f t="shared" si="8"/>
        <v>1</v>
      </c>
      <c r="O15" s="311">
        <f t="shared" si="2"/>
        <v>10000</v>
      </c>
      <c r="P15" s="312">
        <f>IF($R15=1,"",VLOOKUP($D15,'1-2'!$D$4:$L$103,8))</f>
        <v>0</v>
      </c>
      <c r="Q15" s="313">
        <f>IF($R15=1,"",VLOOKUP($D15,'1-2'!$D$4:$L$103,9))</f>
        <v>0</v>
      </c>
      <c r="R15" s="25">
        <f>IF(ISNA(MATCH($D15,'随時②-2'!$D$4:$D$18,0)),0,1)</f>
        <v>0</v>
      </c>
      <c r="S15" s="63">
        <f t="shared" si="1"/>
      </c>
      <c r="T15" s="63">
        <f t="shared" si="3"/>
      </c>
      <c r="U15" s="5">
        <f t="shared" si="4"/>
        <v>1</v>
      </c>
    </row>
    <row r="16" spans="1:21" ht="13.5" customHeight="1">
      <c r="A16" s="314">
        <f>'1-2'!A16</f>
        <v>0</v>
      </c>
      <c r="B16" s="315" t="str">
        <f>'1-2'!B16</f>
        <v>３（１）</v>
      </c>
      <c r="C16" s="481" t="str">
        <f>'1-2'!C16</f>
        <v>専門性の向上（人材育成）</v>
      </c>
      <c r="D16" s="256">
        <v>13</v>
      </c>
      <c r="E16" s="316" t="str">
        <f>IF($R16=1,"",VLOOKUP($D16,'1-2'!$D$4:$L$103,2))</f>
        <v>報償費</v>
      </c>
      <c r="F16" s="317" t="str">
        <f>IF($R16=1,"取消し",VLOOKUP($D16,'1-2'!$D$4:$L$103,3))</f>
        <v>キャリア教育研修</v>
      </c>
      <c r="G16" s="226">
        <f>IF($R16=1,,VLOOKUP($D16,'1-2'!$D$4:$L$103,4))</f>
        <v>25000</v>
      </c>
      <c r="H16" s="318">
        <f>IF($R16=1,,VLOOKUP($D16,'1-2'!$D$4:$L$103,5))</f>
        <v>1</v>
      </c>
      <c r="I16" s="318">
        <f>IF($R16=1,,VLOOKUP($D16,'1-2'!$D$4:$L$103,6))</f>
        <v>1</v>
      </c>
      <c r="J16" s="319">
        <f>IF($R16=1,,VLOOKUP($D16,'1-2'!$D$4:$L$103,7))</f>
        <v>25000</v>
      </c>
      <c r="K16" s="320" t="str">
        <f t="shared" si="5"/>
        <v>キャリア教育研修</v>
      </c>
      <c r="L16" s="321">
        <v>25000</v>
      </c>
      <c r="M16" s="322">
        <f t="shared" si="7"/>
        <v>1</v>
      </c>
      <c r="N16" s="322">
        <f t="shared" si="8"/>
        <v>1</v>
      </c>
      <c r="O16" s="311">
        <f t="shared" si="2"/>
        <v>25000</v>
      </c>
      <c r="P16" s="312">
        <f>IF($R16=1,"",VLOOKUP($D16,'1-2'!$D$4:$L$103,8))</f>
        <v>0</v>
      </c>
      <c r="Q16" s="313">
        <f>IF($R16=1,"",VLOOKUP($D16,'1-2'!$D$4:$L$103,9))</f>
        <v>0</v>
      </c>
      <c r="R16" s="25">
        <f>IF(ISNA(MATCH($D16,'随時②-2'!$D$4:$D$18,0)),0,1)</f>
        <v>0</v>
      </c>
      <c r="S16" s="63">
        <f t="shared" si="1"/>
      </c>
      <c r="T16" s="63">
        <f t="shared" si="3"/>
      </c>
      <c r="U16" s="5">
        <f t="shared" si="4"/>
        <v>1</v>
      </c>
    </row>
    <row r="17" spans="1:21" ht="13.5" customHeight="1">
      <c r="A17" s="314">
        <f>'1-2'!A17</f>
        <v>0</v>
      </c>
      <c r="B17" s="315" t="str">
        <f>'1-2'!B17</f>
        <v>３（１）</v>
      </c>
      <c r="C17" s="481" t="str">
        <f>'1-2'!C17</f>
        <v>専門性の向上（人材育成）</v>
      </c>
      <c r="D17" s="256">
        <v>14</v>
      </c>
      <c r="E17" s="316" t="str">
        <f>IF($R17=1,"",VLOOKUP($D17,'1-2'!$D$4:$L$103,2))</f>
        <v>報償費</v>
      </c>
      <c r="F17" s="317" t="str">
        <f>IF($R17=1,"取消し",VLOOKUP($D17,'1-2'!$D$4:$L$103,3))</f>
        <v>初任教諭研授業への助言指導</v>
      </c>
      <c r="G17" s="226">
        <f>IF($R17=1,,VLOOKUP($D17,'1-2'!$D$4:$L$103,4))</f>
        <v>5000</v>
      </c>
      <c r="H17" s="318">
        <f>IF($R17=1,,VLOOKUP($D17,'1-2'!$D$4:$L$103,5))</f>
        <v>15</v>
      </c>
      <c r="I17" s="318">
        <f>IF($R17=1,,VLOOKUP($D17,'1-2'!$D$4:$L$103,6))</f>
        <v>1</v>
      </c>
      <c r="J17" s="319">
        <f>IF($R17=1,,VLOOKUP($D17,'1-2'!$D$4:$L$103,7))</f>
        <v>75000</v>
      </c>
      <c r="K17" s="320" t="str">
        <f t="shared" si="5"/>
        <v>初任教諭研授業への助言指導</v>
      </c>
      <c r="L17" s="321">
        <v>60000</v>
      </c>
      <c r="M17" s="322">
        <v>1</v>
      </c>
      <c r="N17" s="322">
        <v>1</v>
      </c>
      <c r="O17" s="311">
        <f t="shared" si="2"/>
        <v>60000</v>
      </c>
      <c r="P17" s="312">
        <f>IF($R17=1,"",VLOOKUP($D17,'1-2'!$D$4:$L$103,8))</f>
        <v>0</v>
      </c>
      <c r="Q17" s="313">
        <f>IF($R17=1,"",VLOOKUP($D17,'1-2'!$D$4:$L$103,9))</f>
        <v>0</v>
      </c>
      <c r="R17" s="25">
        <f>IF(ISNA(MATCH($D17,'随時②-2'!$D$4:$D$18,0)),0,1)</f>
        <v>0</v>
      </c>
      <c r="S17" s="63">
        <f t="shared" si="1"/>
      </c>
      <c r="T17" s="63">
        <f t="shared" si="3"/>
      </c>
      <c r="U17" s="5">
        <f t="shared" si="4"/>
        <v>1</v>
      </c>
    </row>
    <row r="18" spans="1:21" ht="13.5" customHeight="1">
      <c r="A18" s="314">
        <f>'1-2'!A18</f>
        <v>0</v>
      </c>
      <c r="B18" s="315" t="str">
        <f>'1-2'!B18</f>
        <v>３（１）</v>
      </c>
      <c r="C18" s="481" t="str">
        <f>'1-2'!C18</f>
        <v>専門性の向上（人材育成）</v>
      </c>
      <c r="D18" s="256">
        <v>15</v>
      </c>
      <c r="E18" s="316" t="str">
        <f>IF($R18=1,"",VLOOKUP($D18,'1-2'!$D$4:$L$103,2))</f>
        <v>旅費</v>
      </c>
      <c r="F18" s="317" t="str">
        <f>IF($R18=1,"取消し",VLOOKUP($D18,'1-2'!$D$4:$L$103,3))</f>
        <v>研究集会参加</v>
      </c>
      <c r="G18" s="226">
        <f>IF($R18=1,,VLOOKUP($D18,'1-2'!$D$4:$L$103,4))</f>
        <v>40000</v>
      </c>
      <c r="H18" s="318">
        <f>IF($R18=1,,VLOOKUP($D18,'1-2'!$D$4:$L$103,5))</f>
        <v>3</v>
      </c>
      <c r="I18" s="318">
        <f>IF($R18=1,,VLOOKUP($D18,'1-2'!$D$4:$L$103,6))</f>
        <v>1</v>
      </c>
      <c r="J18" s="319">
        <f>IF($R18=1,,VLOOKUP($D18,'1-2'!$D$4:$L$103,7))</f>
        <v>120000</v>
      </c>
      <c r="K18" s="320" t="str">
        <f t="shared" si="5"/>
        <v>研究集会参加</v>
      </c>
      <c r="L18" s="321">
        <v>118970</v>
      </c>
      <c r="M18" s="322">
        <v>1</v>
      </c>
      <c r="N18" s="322">
        <f t="shared" si="8"/>
        <v>1</v>
      </c>
      <c r="O18" s="311">
        <f t="shared" si="2"/>
        <v>118970</v>
      </c>
      <c r="P18" s="312">
        <f>IF($R18=1,"",VLOOKUP($D18,'1-2'!$D$4:$L$103,8))</f>
        <v>0</v>
      </c>
      <c r="Q18" s="313">
        <f>IF($R18=1,"",VLOOKUP($D18,'1-2'!$D$4:$L$103,9))</f>
        <v>0</v>
      </c>
      <c r="R18" s="25">
        <f>IF(ISNA(MATCH($D18,'随時②-2'!$D$4:$D$18,0)),0,1)</f>
        <v>0</v>
      </c>
      <c r="S18" s="63">
        <f t="shared" si="1"/>
      </c>
      <c r="T18" s="63">
        <f t="shared" si="3"/>
      </c>
      <c r="U18" s="5">
        <f t="shared" si="4"/>
        <v>2</v>
      </c>
    </row>
    <row r="19" spans="1:21" ht="13.5" customHeight="1">
      <c r="A19" s="314">
        <f>'1-2'!A19</f>
        <v>0</v>
      </c>
      <c r="B19" s="315" t="str">
        <f>'1-2'!B19</f>
        <v>３（１）</v>
      </c>
      <c r="C19" s="481" t="str">
        <f>'1-2'!C19</f>
        <v>専門性の向上（人材育成）</v>
      </c>
      <c r="D19" s="256">
        <v>16</v>
      </c>
      <c r="E19" s="316" t="str">
        <f>IF($R19=1,"",VLOOKUP($D19,'1-2'!$D$4:$L$103,2))</f>
        <v>負担金、補助及び交付金</v>
      </c>
      <c r="F19" s="317" t="str">
        <f>IF($R19=1,"取消し",VLOOKUP($D19,'1-2'!$D$4:$L$103,3))</f>
        <v>第162回国治研セミナー負担金</v>
      </c>
      <c r="G19" s="226">
        <f>IF($R19=1,,VLOOKUP($D19,'1-2'!$D$4:$L$103,4))</f>
        <v>8000</v>
      </c>
      <c r="H19" s="318">
        <f>IF($R19=1,,VLOOKUP($D19,'1-2'!$D$4:$L$103,5))</f>
        <v>1</v>
      </c>
      <c r="I19" s="318">
        <f>IF($R19=1,,VLOOKUP($D19,'1-2'!$D$4:$L$103,6))</f>
        <v>1</v>
      </c>
      <c r="J19" s="319">
        <f>IF($R19=1,,VLOOKUP($D19,'1-2'!$D$4:$L$103,7))</f>
        <v>8000</v>
      </c>
      <c r="K19" s="320" t="str">
        <f t="shared" si="5"/>
        <v>第162回国治研セミナー負担金</v>
      </c>
      <c r="L19" s="321">
        <v>8000</v>
      </c>
      <c r="M19" s="322">
        <f t="shared" si="7"/>
        <v>1</v>
      </c>
      <c r="N19" s="322">
        <f t="shared" si="8"/>
        <v>1</v>
      </c>
      <c r="O19" s="311">
        <f t="shared" si="2"/>
        <v>8000</v>
      </c>
      <c r="P19" s="312">
        <f>IF($R19=1,"",VLOOKUP($D19,'1-2'!$D$4:$L$103,8))</f>
        <v>0</v>
      </c>
      <c r="Q19" s="313">
        <f>IF($R19=1,"",VLOOKUP($D19,'1-2'!$D$4:$L$103,9))</f>
        <v>0</v>
      </c>
      <c r="R19" s="25">
        <f>IF(ISNA(MATCH($D19,'随時②-2'!$D$4:$D$18,0)),0,1)</f>
        <v>0</v>
      </c>
      <c r="S19" s="63">
        <f t="shared" si="1"/>
      </c>
      <c r="T19" s="63">
        <f t="shared" si="3"/>
      </c>
      <c r="U19" s="5">
        <f t="shared" si="4"/>
        <v>9</v>
      </c>
    </row>
    <row r="20" spans="1:21" ht="13.5" customHeight="1">
      <c r="A20" s="314">
        <f>'1-2'!A20</f>
        <v>0</v>
      </c>
      <c r="B20" s="315" t="str">
        <f>'1-2'!B20</f>
        <v>３（１）</v>
      </c>
      <c r="C20" s="481" t="str">
        <f>'1-2'!C20</f>
        <v>専門性の向上（人材育成）</v>
      </c>
      <c r="D20" s="256">
        <v>17</v>
      </c>
      <c r="E20" s="316" t="str">
        <f>IF($R20=1,"",VLOOKUP($D20,'1-2'!$D$4:$L$103,2))</f>
        <v>負担金、補助及び交付金</v>
      </c>
      <c r="F20" s="317" t="str">
        <f>IF($R20=1,"取消し",VLOOKUP($D20,'1-2'!$D$4:$L$103,3))</f>
        <v>（公社）発達協会「実践セミナー」負担金</v>
      </c>
      <c r="G20" s="226">
        <f>IF($R20=1,,VLOOKUP($D20,'1-2'!$D$4:$L$103,4))</f>
        <v>14040</v>
      </c>
      <c r="H20" s="318">
        <f>IF($R20=1,,VLOOKUP($D20,'1-2'!$D$4:$L$103,5))</f>
        <v>1</v>
      </c>
      <c r="I20" s="318">
        <f>IF($R20=1,,VLOOKUP($D20,'1-2'!$D$4:$L$103,6))</f>
        <v>1</v>
      </c>
      <c r="J20" s="319">
        <f>IF($R20=1,,VLOOKUP($D20,'1-2'!$D$4:$L$103,7))</f>
        <v>14040</v>
      </c>
      <c r="K20" s="320" t="str">
        <f t="shared" si="5"/>
        <v>（公社）発達協会「実践セミナー」負担金</v>
      </c>
      <c r="L20" s="321">
        <v>14040</v>
      </c>
      <c r="M20" s="322">
        <f t="shared" si="7"/>
        <v>1</v>
      </c>
      <c r="N20" s="322">
        <f t="shared" si="8"/>
        <v>1</v>
      </c>
      <c r="O20" s="311">
        <f t="shared" si="2"/>
        <v>14040</v>
      </c>
      <c r="P20" s="312">
        <f>IF($R20=1,"",VLOOKUP($D20,'1-2'!$D$4:$L$103,8))</f>
        <v>0</v>
      </c>
      <c r="Q20" s="313">
        <f>IF($R20=1,"",VLOOKUP($D20,'1-2'!$D$4:$L$103,9))</f>
        <v>0</v>
      </c>
      <c r="R20" s="25">
        <f>IF(ISNA(MATCH($D20,'随時②-2'!$D$4:$D$18,0)),0,1)</f>
        <v>0</v>
      </c>
      <c r="S20" s="63">
        <f t="shared" si="1"/>
      </c>
      <c r="T20" s="63">
        <f t="shared" si="3"/>
      </c>
      <c r="U20" s="5">
        <f t="shared" si="4"/>
        <v>9</v>
      </c>
    </row>
    <row r="21" spans="1:21" ht="13.5" customHeight="1">
      <c r="A21" s="314">
        <f>'1-2'!A21</f>
        <v>0</v>
      </c>
      <c r="B21" s="315">
        <f>'1-2'!B21</f>
        <v>0</v>
      </c>
      <c r="C21" s="481" t="str">
        <f>'1-2'!C21</f>
        <v>専門性の向上（人材育成）</v>
      </c>
      <c r="D21" s="256">
        <v>18</v>
      </c>
      <c r="E21" s="316" t="str">
        <f>IF($R21=1,"",VLOOKUP($D21,'1-2'!$D$4:$L$103,2))</f>
        <v>消耗需用費</v>
      </c>
      <c r="F21" s="317" t="str">
        <f>IF($R21=1,"取消し",VLOOKUP($D21,'1-2'!$D$4:$L$103,3))</f>
        <v>各セミナー、研究集会等資料代</v>
      </c>
      <c r="G21" s="226">
        <f>IF($R21=1,,VLOOKUP($D21,'1-2'!$D$4:$L$103,4))</f>
        <v>6960</v>
      </c>
      <c r="H21" s="318">
        <f>IF($R21=1,,VLOOKUP($D21,'1-2'!$D$4:$L$103,5))</f>
        <v>1</v>
      </c>
      <c r="I21" s="318">
        <f>IF($R21=1,,VLOOKUP($D21,'1-2'!$D$4:$L$103,6))</f>
        <v>1</v>
      </c>
      <c r="J21" s="319">
        <f>IF($R21=1,,VLOOKUP($D21,'1-2'!$D$4:$L$103,7))</f>
        <v>6960</v>
      </c>
      <c r="K21" s="320" t="str">
        <f t="shared" si="5"/>
        <v>各セミナー、研究集会等資料代</v>
      </c>
      <c r="L21" s="321">
        <v>6960</v>
      </c>
      <c r="M21" s="322">
        <f t="shared" si="7"/>
        <v>1</v>
      </c>
      <c r="N21" s="322">
        <f t="shared" si="8"/>
        <v>1</v>
      </c>
      <c r="O21" s="311">
        <f t="shared" si="2"/>
        <v>6960</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0</v>
      </c>
      <c r="B22" s="315">
        <f>'1-2'!B22</f>
        <v>0</v>
      </c>
      <c r="C22" s="481">
        <f>'1-2'!C22</f>
        <v>0</v>
      </c>
      <c r="D22" s="256">
        <v>19</v>
      </c>
      <c r="E22" s="316">
        <f>IF($R22=1,"",VLOOKUP($D22,'1-2'!$D$4:$L$103,2))</f>
        <v>0</v>
      </c>
      <c r="F22" s="317">
        <f>IF($R22=1,"取消し",VLOOKUP($D22,'1-2'!$D$4:$L$103,3))</f>
        <v>0</v>
      </c>
      <c r="G22" s="226">
        <f>IF($R22=1,,VLOOKUP($D22,'1-2'!$D$4:$L$103,4))</f>
        <v>0</v>
      </c>
      <c r="H22" s="318">
        <f>IF($R22=1,,VLOOKUP($D22,'1-2'!$D$4:$L$103,5))</f>
        <v>0</v>
      </c>
      <c r="I22" s="318">
        <f>IF($R22=1,,VLOOKUP($D22,'1-2'!$D$4:$L$103,6))</f>
        <v>0</v>
      </c>
      <c r="J22" s="319">
        <f>IF($R22=1,,VLOOKUP($D22,'1-2'!$D$4:$L$103,7))</f>
        <v>0</v>
      </c>
      <c r="K22" s="320"/>
      <c r="L22" s="321"/>
      <c r="M22" s="322">
        <f t="shared" si="7"/>
        <v>0</v>
      </c>
      <c r="N22" s="322">
        <f t="shared" si="8"/>
        <v>0</v>
      </c>
      <c r="O22" s="311">
        <f t="shared" si="2"/>
        <v>0</v>
      </c>
      <c r="P22" s="312">
        <f>IF($R22=1,"",VLOOKUP($D22,'1-2'!$D$4:$L$103,8))</f>
        <v>0</v>
      </c>
      <c r="Q22" s="313">
        <f>IF($R22=1,"",VLOOKUP($D22,'1-2'!$D$4:$L$103,9))</f>
        <v>0</v>
      </c>
      <c r="R22" s="25">
        <f>IF(ISNA(MATCH($D22,'随時②-2'!$D$4:$D$18,0)),0,1)</f>
        <v>0</v>
      </c>
      <c r="S22" s="63">
        <f t="shared" si="1"/>
      </c>
      <c r="T22" s="63">
        <f t="shared" si="3"/>
      </c>
      <c r="U22" s="5">
        <f t="shared" si="4"/>
      </c>
    </row>
    <row r="23" spans="1:21" ht="13.5" customHeight="1">
      <c r="A23" s="314">
        <f>'1-2'!A23</f>
        <v>0</v>
      </c>
      <c r="B23" s="315">
        <f>'1-2'!B23</f>
        <v>0</v>
      </c>
      <c r="C23" s="481">
        <f>'1-2'!C23</f>
        <v>0</v>
      </c>
      <c r="D23" s="256">
        <v>20</v>
      </c>
      <c r="E23" s="316">
        <f>IF($R23=1,"",VLOOKUP($D23,'1-2'!$D$4:$L$103,2))</f>
        <v>0</v>
      </c>
      <c r="F23" s="317">
        <f>IF($R23=1,"取消し",VLOOKUP($D23,'1-2'!$D$4:$L$103,3))</f>
        <v>0</v>
      </c>
      <c r="G23" s="226">
        <f>IF($R23=1,,VLOOKUP($D23,'1-2'!$D$4:$L$103,4))</f>
        <v>0</v>
      </c>
      <c r="H23" s="318">
        <f>IF($R23=1,,VLOOKUP($D23,'1-2'!$D$4:$L$103,5))</f>
        <v>0</v>
      </c>
      <c r="I23" s="318">
        <f>IF($R23=1,,VLOOKUP($D23,'1-2'!$D$4:$L$103,6))</f>
        <v>0</v>
      </c>
      <c r="J23" s="319">
        <f>IF($R23=1,,VLOOKUP($D23,'1-2'!$D$4:$L$103,7))</f>
        <v>0</v>
      </c>
      <c r="K23" s="320">
        <f t="shared" si="5"/>
        <v>0</v>
      </c>
      <c r="L23" s="321">
        <f aca="true" t="shared" si="9" ref="L23:L74">G23</f>
        <v>0</v>
      </c>
      <c r="M23" s="322">
        <f t="shared" si="7"/>
        <v>0</v>
      </c>
      <c r="N23" s="322">
        <f t="shared" si="8"/>
        <v>0</v>
      </c>
      <c r="O23" s="311">
        <f t="shared" si="2"/>
        <v>0</v>
      </c>
      <c r="P23" s="312">
        <f>IF($R23=1,"",VLOOKUP($D23,'1-2'!$D$4:$L$103,8))</f>
        <v>0</v>
      </c>
      <c r="Q23" s="313">
        <f>IF($R23=1,"",VLOOKUP($D23,'1-2'!$D$4:$L$103,9))</f>
        <v>0</v>
      </c>
      <c r="R23" s="25">
        <f>IF(ISNA(MATCH($D23,'随時②-2'!$D$4:$D$18,0)),0,1)</f>
        <v>0</v>
      </c>
      <c r="S23" s="63">
        <f t="shared" si="1"/>
      </c>
      <c r="T23" s="63">
        <f t="shared" si="3"/>
      </c>
      <c r="U23" s="5">
        <f t="shared" si="4"/>
      </c>
    </row>
    <row r="24" spans="1:21" ht="13.5" customHeight="1">
      <c r="A24" s="314">
        <f>'1-2'!A24</f>
        <v>0</v>
      </c>
      <c r="B24" s="315">
        <f>'1-2'!B24</f>
        <v>0</v>
      </c>
      <c r="C24" s="481">
        <f>'1-2'!C24</f>
        <v>0</v>
      </c>
      <c r="D24" s="256">
        <v>21</v>
      </c>
      <c r="E24" s="316">
        <f>IF($R24=1,"",VLOOKUP($D24,'1-2'!$D$4:$L$103,2))</f>
        <v>0</v>
      </c>
      <c r="F24" s="317">
        <f>IF($R24=1,"取消し",VLOOKUP($D24,'1-2'!$D$4:$L$103,3))</f>
        <v>0</v>
      </c>
      <c r="G24" s="226">
        <f>IF($R24=1,,VLOOKUP($D24,'1-2'!$D$4:$L$103,4))</f>
        <v>0</v>
      </c>
      <c r="H24" s="318">
        <f>IF($R24=1,,VLOOKUP($D24,'1-2'!$D$4:$L$103,5))</f>
        <v>0</v>
      </c>
      <c r="I24" s="318">
        <f>IF($R24=1,,VLOOKUP($D24,'1-2'!$D$4:$L$103,6))</f>
        <v>0</v>
      </c>
      <c r="J24" s="319">
        <f>IF($R24=1,,VLOOKUP($D24,'1-2'!$D$4:$L$103,7))</f>
        <v>0</v>
      </c>
      <c r="K24" s="320">
        <f t="shared" si="5"/>
        <v>0</v>
      </c>
      <c r="L24" s="321">
        <f t="shared" si="9"/>
        <v>0</v>
      </c>
      <c r="M24" s="322">
        <f t="shared" si="7"/>
        <v>0</v>
      </c>
      <c r="N24" s="322">
        <f t="shared" si="8"/>
        <v>0</v>
      </c>
      <c r="O24" s="311">
        <f t="shared" si="2"/>
        <v>0</v>
      </c>
      <c r="P24" s="312">
        <f>IF($R24=1,"",VLOOKUP($D24,'1-2'!$D$4:$L$103,8))</f>
        <v>0</v>
      </c>
      <c r="Q24" s="313">
        <f>IF($R24=1,"",VLOOKUP($D24,'1-2'!$D$4:$L$103,9))</f>
        <v>0</v>
      </c>
      <c r="R24" s="25">
        <f>IF(ISNA(MATCH($D24,'随時②-2'!$D$4:$D$18,0)),0,1)</f>
        <v>0</v>
      </c>
      <c r="S24" s="63">
        <f t="shared" si="1"/>
      </c>
      <c r="T24" s="63">
        <f t="shared" si="3"/>
      </c>
      <c r="U24" s="5">
        <f t="shared" si="4"/>
      </c>
    </row>
    <row r="25" spans="1:21" ht="13.5" customHeight="1">
      <c r="A25" s="314">
        <f>'1-2'!A25</f>
        <v>0</v>
      </c>
      <c r="B25" s="315">
        <f>'1-2'!B25</f>
        <v>0</v>
      </c>
      <c r="C25" s="481">
        <f>'1-2'!C25</f>
        <v>0</v>
      </c>
      <c r="D25" s="256">
        <v>22</v>
      </c>
      <c r="E25" s="316">
        <f>IF($R25=1,"",VLOOKUP($D25,'1-2'!$D$4:$L$103,2))</f>
        <v>0</v>
      </c>
      <c r="F25" s="317">
        <f>IF($R25=1,"取消し",VLOOKUP($D25,'1-2'!$D$4:$L$103,3))</f>
        <v>0</v>
      </c>
      <c r="G25" s="226">
        <f>IF($R25=1,,VLOOKUP($D25,'1-2'!$D$4:$L$103,4))</f>
        <v>0</v>
      </c>
      <c r="H25" s="318">
        <f>IF($R25=1,,VLOOKUP($D25,'1-2'!$D$4:$L$103,5))</f>
        <v>0</v>
      </c>
      <c r="I25" s="318">
        <f>IF($R25=1,,VLOOKUP($D25,'1-2'!$D$4:$L$103,6))</f>
        <v>0</v>
      </c>
      <c r="J25" s="319">
        <f>IF($R25=1,,VLOOKUP($D25,'1-2'!$D$4:$L$103,7))</f>
        <v>0</v>
      </c>
      <c r="K25" s="320">
        <f t="shared" si="5"/>
        <v>0</v>
      </c>
      <c r="L25" s="321">
        <f t="shared" si="9"/>
        <v>0</v>
      </c>
      <c r="M25" s="322">
        <f t="shared" si="7"/>
        <v>0</v>
      </c>
      <c r="N25" s="322">
        <f t="shared" si="8"/>
        <v>0</v>
      </c>
      <c r="O25" s="311">
        <f t="shared" si="2"/>
        <v>0</v>
      </c>
      <c r="P25" s="312">
        <f>IF($R25=1,"",VLOOKUP($D25,'1-2'!$D$4:$L$103,8))</f>
        <v>0</v>
      </c>
      <c r="Q25" s="313">
        <f>IF($R25=1,"",VLOOKUP($D25,'1-2'!$D$4:$L$103,9))</f>
        <v>0</v>
      </c>
      <c r="R25" s="25">
        <f>IF(ISNA(MATCH($D25,'随時②-2'!$D$4:$D$18,0)),0,1)</f>
        <v>0</v>
      </c>
      <c r="S25" s="63">
        <f t="shared" si="1"/>
      </c>
      <c r="T25" s="63">
        <f t="shared" si="3"/>
      </c>
      <c r="U25" s="5">
        <f t="shared" si="4"/>
      </c>
    </row>
    <row r="26" spans="1:21" ht="13.5" customHeight="1">
      <c r="A26" s="314">
        <f>'1-2'!A26</f>
        <v>0</v>
      </c>
      <c r="B26" s="315">
        <f>'1-2'!B26</f>
        <v>0</v>
      </c>
      <c r="C26" s="481">
        <f>'1-2'!C26</f>
        <v>0</v>
      </c>
      <c r="D26" s="256">
        <v>23</v>
      </c>
      <c r="E26" s="316">
        <f>IF($R26=1,"",VLOOKUP($D26,'1-2'!$D$4:$L$103,2))</f>
        <v>0</v>
      </c>
      <c r="F26" s="317">
        <f>IF($R26=1,"取消し",VLOOKUP($D26,'1-2'!$D$4:$L$103,3))</f>
        <v>0</v>
      </c>
      <c r="G26" s="226">
        <f>IF($R26=1,,VLOOKUP($D26,'1-2'!$D$4:$L$103,4))</f>
        <v>0</v>
      </c>
      <c r="H26" s="318">
        <f>IF($R26=1,,VLOOKUP($D26,'1-2'!$D$4:$L$103,5))</f>
        <v>0</v>
      </c>
      <c r="I26" s="318">
        <f>IF($R26=1,,VLOOKUP($D26,'1-2'!$D$4:$L$103,6))</f>
        <v>0</v>
      </c>
      <c r="J26" s="319">
        <f>IF($R26=1,,VLOOKUP($D26,'1-2'!$D$4:$L$103,7))</f>
        <v>0</v>
      </c>
      <c r="K26" s="320">
        <f t="shared" si="5"/>
        <v>0</v>
      </c>
      <c r="L26" s="321">
        <f t="shared" si="9"/>
        <v>0</v>
      </c>
      <c r="M26" s="322">
        <f t="shared" si="7"/>
        <v>0</v>
      </c>
      <c r="N26" s="322">
        <f t="shared" si="8"/>
        <v>0</v>
      </c>
      <c r="O26" s="311">
        <f t="shared" si="2"/>
        <v>0</v>
      </c>
      <c r="P26" s="312">
        <f>IF($R26=1,"",VLOOKUP($D26,'1-2'!$D$4:$L$103,8))</f>
        <v>0</v>
      </c>
      <c r="Q26" s="313">
        <f>IF($R26=1,"",VLOOKUP($D26,'1-2'!$D$4:$L$103,9))</f>
        <v>0</v>
      </c>
      <c r="R26" s="25">
        <f>IF(ISNA(MATCH($D26,'随時②-2'!$D$4:$D$18,0)),0,1)</f>
        <v>0</v>
      </c>
      <c r="S26" s="63">
        <f t="shared" si="1"/>
      </c>
      <c r="T26" s="63">
        <f t="shared" si="3"/>
      </c>
      <c r="U26" s="5">
        <f t="shared" si="4"/>
      </c>
    </row>
    <row r="27" spans="1:21" ht="13.5" customHeight="1">
      <c r="A27" s="314">
        <f>'1-2'!A27</f>
        <v>0</v>
      </c>
      <c r="B27" s="315">
        <f>'1-2'!B27</f>
        <v>0</v>
      </c>
      <c r="C27" s="481">
        <f>'1-2'!C27</f>
        <v>0</v>
      </c>
      <c r="D27" s="256">
        <v>24</v>
      </c>
      <c r="E27" s="316">
        <f>IF($R27=1,"",VLOOKUP($D27,'1-2'!$D$4:$L$103,2))</f>
        <v>0</v>
      </c>
      <c r="F27" s="317">
        <f>IF($R27=1,"取消し",VLOOKUP($D27,'1-2'!$D$4:$L$103,3))</f>
        <v>0</v>
      </c>
      <c r="G27" s="226">
        <f>IF($R27=1,,VLOOKUP($D27,'1-2'!$D$4:$L$103,4))</f>
        <v>0</v>
      </c>
      <c r="H27" s="318">
        <f>IF($R27=1,,VLOOKUP($D27,'1-2'!$D$4:$L$103,5))</f>
        <v>0</v>
      </c>
      <c r="I27" s="318">
        <f>IF($R27=1,,VLOOKUP($D27,'1-2'!$D$4:$L$103,6))</f>
        <v>0</v>
      </c>
      <c r="J27" s="319">
        <f>IF($R27=1,,VLOOKUP($D27,'1-2'!$D$4:$L$103,7))</f>
        <v>0</v>
      </c>
      <c r="K27" s="320">
        <f t="shared" si="5"/>
        <v>0</v>
      </c>
      <c r="L27" s="321">
        <f t="shared" si="9"/>
        <v>0</v>
      </c>
      <c r="M27" s="322">
        <f t="shared" si="7"/>
        <v>0</v>
      </c>
      <c r="N27" s="322">
        <f t="shared" si="8"/>
        <v>0</v>
      </c>
      <c r="O27" s="311">
        <f t="shared" si="2"/>
        <v>0</v>
      </c>
      <c r="P27" s="312">
        <f>IF($R27=1,"",VLOOKUP($D27,'1-2'!$D$4:$L$103,8))</f>
        <v>0</v>
      </c>
      <c r="Q27" s="313">
        <f>IF($R27=1,"",VLOOKUP($D27,'1-2'!$D$4:$L$103,9))</f>
        <v>0</v>
      </c>
      <c r="R27" s="25">
        <f>IF(ISNA(MATCH($D27,'随時②-2'!$D$4:$D$18,0)),0,1)</f>
        <v>0</v>
      </c>
      <c r="S27" s="63">
        <f t="shared" si="1"/>
      </c>
      <c r="T27" s="63">
        <f t="shared" si="3"/>
      </c>
      <c r="U27" s="5">
        <f t="shared" si="4"/>
      </c>
    </row>
    <row r="28" spans="1:21" ht="13.5" customHeight="1">
      <c r="A28" s="314">
        <f>'1-2'!A28</f>
        <v>0</v>
      </c>
      <c r="B28" s="315">
        <f>'1-2'!B28</f>
        <v>0</v>
      </c>
      <c r="C28" s="481">
        <f>'1-2'!C28</f>
        <v>0</v>
      </c>
      <c r="D28" s="265">
        <v>25</v>
      </c>
      <c r="E28" s="316">
        <f>IF($R28=1,"",VLOOKUP($D28,'1-2'!$D$4:$L$103,2))</f>
        <v>0</v>
      </c>
      <c r="F28" s="317">
        <f>IF($R28=1,"取消し",VLOOKUP($D28,'1-2'!$D$4:$L$103,3))</f>
        <v>0</v>
      </c>
      <c r="G28" s="226">
        <f>IF($R28=1,,VLOOKUP($D28,'1-2'!$D$4:$L$103,4))</f>
        <v>0</v>
      </c>
      <c r="H28" s="318">
        <f>IF($R28=1,,VLOOKUP($D28,'1-2'!$D$4:$L$103,5))</f>
        <v>0</v>
      </c>
      <c r="I28" s="318">
        <f>IF($R28=1,,VLOOKUP($D28,'1-2'!$D$4:$L$103,6))</f>
        <v>0</v>
      </c>
      <c r="J28" s="319">
        <f>IF($R28=1,,VLOOKUP($D28,'1-2'!$D$4:$L$103,7))</f>
        <v>0</v>
      </c>
      <c r="K28" s="320">
        <f t="shared" si="5"/>
        <v>0</v>
      </c>
      <c r="L28" s="321">
        <f t="shared" si="9"/>
        <v>0</v>
      </c>
      <c r="M28" s="322">
        <f t="shared" si="7"/>
        <v>0</v>
      </c>
      <c r="N28" s="322">
        <f t="shared" si="8"/>
        <v>0</v>
      </c>
      <c r="O28" s="311">
        <f t="shared" si="2"/>
        <v>0</v>
      </c>
      <c r="P28" s="312">
        <f>IF($R28=1,"",VLOOKUP($D28,'1-2'!$D$4:$L$103,8))</f>
        <v>0</v>
      </c>
      <c r="Q28" s="313">
        <f>IF($R28=1,"",VLOOKUP($D28,'1-2'!$D$4:$L$103,9))</f>
        <v>0</v>
      </c>
      <c r="R28" s="25">
        <f>IF(ISNA(MATCH($D28,'随時②-2'!$D$4:$D$18,0)),0,1)</f>
        <v>0</v>
      </c>
      <c r="S28" s="63">
        <f t="shared" si="1"/>
      </c>
      <c r="T28" s="63">
        <f t="shared" si="3"/>
      </c>
      <c r="U28" s="5">
        <f t="shared" si="4"/>
      </c>
    </row>
    <row r="29" spans="1:21" ht="13.5" customHeight="1">
      <c r="A29" s="314">
        <f>'1-2'!A29</f>
        <v>0</v>
      </c>
      <c r="B29" s="315">
        <f>'1-2'!B29</f>
        <v>0</v>
      </c>
      <c r="C29" s="481">
        <f>'1-2'!C29</f>
        <v>0</v>
      </c>
      <c r="D29" s="256">
        <v>26</v>
      </c>
      <c r="E29" s="316">
        <f>IF($R29=1,"",VLOOKUP($D29,'1-2'!$D$4:$L$103,2))</f>
        <v>0</v>
      </c>
      <c r="F29" s="317">
        <f>IF($R29=1,"取消し",VLOOKUP($D29,'1-2'!$D$4:$L$103,3))</f>
        <v>0</v>
      </c>
      <c r="G29" s="226">
        <f>IF($R29=1,,VLOOKUP($D29,'1-2'!$D$4:$L$103,4))</f>
        <v>0</v>
      </c>
      <c r="H29" s="318">
        <f>IF($R29=1,,VLOOKUP($D29,'1-2'!$D$4:$L$103,5))</f>
        <v>0</v>
      </c>
      <c r="I29" s="318">
        <f>IF($R29=1,,VLOOKUP($D29,'1-2'!$D$4:$L$103,6))</f>
        <v>0</v>
      </c>
      <c r="J29" s="319">
        <f>IF($R29=1,,VLOOKUP($D29,'1-2'!$D$4:$L$103,7))</f>
        <v>0</v>
      </c>
      <c r="K29" s="320">
        <f t="shared" si="5"/>
        <v>0</v>
      </c>
      <c r="L29" s="321">
        <f t="shared" si="9"/>
        <v>0</v>
      </c>
      <c r="M29" s="322">
        <f t="shared" si="7"/>
        <v>0</v>
      </c>
      <c r="N29" s="322">
        <f t="shared" si="8"/>
        <v>0</v>
      </c>
      <c r="O29" s="311">
        <f t="shared" si="2"/>
        <v>0</v>
      </c>
      <c r="P29" s="312">
        <f>IF($R29=1,"",VLOOKUP($D29,'1-2'!$D$4:$L$103,8))</f>
        <v>0</v>
      </c>
      <c r="Q29" s="313">
        <f>IF($R29=1,"",VLOOKUP($D29,'1-2'!$D$4:$L$103,9))</f>
        <v>0</v>
      </c>
      <c r="R29" s="25">
        <f>IF(ISNA(MATCH($D29,'随時②-2'!$D$4:$D$18,0)),0,1)</f>
        <v>0</v>
      </c>
      <c r="S29" s="63">
        <f t="shared" si="1"/>
      </c>
      <c r="T29" s="63">
        <f t="shared" si="3"/>
      </c>
      <c r="U29" s="5">
        <f t="shared" si="4"/>
      </c>
    </row>
    <row r="30" spans="1:21" ht="13.5" customHeight="1">
      <c r="A30" s="314">
        <f>'1-2'!A30</f>
        <v>0</v>
      </c>
      <c r="B30" s="315">
        <f>'1-2'!B30</f>
        <v>0</v>
      </c>
      <c r="C30" s="481">
        <f>'1-2'!C30</f>
        <v>0</v>
      </c>
      <c r="D30" s="256">
        <v>27</v>
      </c>
      <c r="E30" s="316">
        <f>IF($R30=1,"",VLOOKUP($D30,'1-2'!$D$4:$L$103,2))</f>
        <v>0</v>
      </c>
      <c r="F30" s="317">
        <f>IF($R30=1,"取消し",VLOOKUP($D30,'1-2'!$D$4:$L$103,3))</f>
        <v>0</v>
      </c>
      <c r="G30" s="226">
        <f>IF($R30=1,,VLOOKUP($D30,'1-2'!$D$4:$L$103,4))</f>
        <v>0</v>
      </c>
      <c r="H30" s="318">
        <f>IF($R30=1,,VLOOKUP($D30,'1-2'!$D$4:$L$103,5))</f>
        <v>0</v>
      </c>
      <c r="I30" s="318">
        <f>IF($R30=1,,VLOOKUP($D30,'1-2'!$D$4:$L$103,6))</f>
        <v>0</v>
      </c>
      <c r="J30" s="319">
        <f>IF($R30=1,,VLOOKUP($D30,'1-2'!$D$4:$L$103,7))</f>
        <v>0</v>
      </c>
      <c r="K30" s="320">
        <f t="shared" si="5"/>
        <v>0</v>
      </c>
      <c r="L30" s="321">
        <f t="shared" si="9"/>
        <v>0</v>
      </c>
      <c r="M30" s="322">
        <f t="shared" si="7"/>
        <v>0</v>
      </c>
      <c r="N30" s="322">
        <f t="shared" si="8"/>
        <v>0</v>
      </c>
      <c r="O30" s="311">
        <f t="shared" si="2"/>
        <v>0</v>
      </c>
      <c r="P30" s="312">
        <f>IF($R30=1,"",VLOOKUP($D30,'1-2'!$D$4:$L$103,8))</f>
        <v>0</v>
      </c>
      <c r="Q30" s="313">
        <f>IF($R30=1,"",VLOOKUP($D30,'1-2'!$D$4:$L$103,9))</f>
        <v>0</v>
      </c>
      <c r="R30" s="25">
        <f>IF(ISNA(MATCH($D30,'随時②-2'!$D$4:$D$18,0)),0,1)</f>
        <v>0</v>
      </c>
      <c r="S30" s="63">
        <f t="shared" si="1"/>
      </c>
      <c r="T30" s="63">
        <f t="shared" si="3"/>
      </c>
      <c r="U30" s="5">
        <f t="shared" si="4"/>
      </c>
    </row>
    <row r="31" spans="1:21" ht="13.5" customHeight="1">
      <c r="A31" s="314">
        <f>'1-2'!A31</f>
        <v>0</v>
      </c>
      <c r="B31" s="315">
        <f>'1-2'!B31</f>
        <v>0</v>
      </c>
      <c r="C31" s="481">
        <f>'1-2'!C31</f>
        <v>0</v>
      </c>
      <c r="D31" s="256">
        <v>28</v>
      </c>
      <c r="E31" s="316">
        <f>IF($R31=1,"",VLOOKUP($D31,'1-2'!$D$4:$L$103,2))</f>
        <v>0</v>
      </c>
      <c r="F31" s="317">
        <f>IF($R31=1,"取消し",VLOOKUP($D31,'1-2'!$D$4:$L$103,3))</f>
        <v>0</v>
      </c>
      <c r="G31" s="226">
        <f>IF($R31=1,,VLOOKUP($D31,'1-2'!$D$4:$L$103,4))</f>
        <v>0</v>
      </c>
      <c r="H31" s="318">
        <f>IF($R31=1,,VLOOKUP($D31,'1-2'!$D$4:$L$103,5))</f>
        <v>0</v>
      </c>
      <c r="I31" s="318">
        <f>IF($R31=1,,VLOOKUP($D31,'1-2'!$D$4:$L$103,6))</f>
        <v>0</v>
      </c>
      <c r="J31" s="319">
        <f>IF($R31=1,,VLOOKUP($D31,'1-2'!$D$4:$L$103,7))</f>
        <v>0</v>
      </c>
      <c r="K31" s="320">
        <f t="shared" si="5"/>
        <v>0</v>
      </c>
      <c r="L31" s="321">
        <f t="shared" si="9"/>
        <v>0</v>
      </c>
      <c r="M31" s="322">
        <f t="shared" si="7"/>
        <v>0</v>
      </c>
      <c r="N31" s="322">
        <f t="shared" si="8"/>
        <v>0</v>
      </c>
      <c r="O31" s="311">
        <f t="shared" si="2"/>
        <v>0</v>
      </c>
      <c r="P31" s="312">
        <f>IF($R31=1,"",VLOOKUP($D31,'1-2'!$D$4:$L$103,8))</f>
        <v>0</v>
      </c>
      <c r="Q31" s="313">
        <f>IF($R31=1,"",VLOOKUP($D31,'1-2'!$D$4:$L$103,9))</f>
        <v>0</v>
      </c>
      <c r="R31" s="25">
        <f>IF(ISNA(MATCH($D31,'随時②-2'!$D$4:$D$18,0)),0,1)</f>
        <v>0</v>
      </c>
      <c r="S31" s="63">
        <f t="shared" si="1"/>
      </c>
      <c r="T31" s="63">
        <f t="shared" si="3"/>
      </c>
      <c r="U31" s="5">
        <f t="shared" si="4"/>
      </c>
    </row>
    <row r="32" spans="1:21" ht="13.5" customHeight="1">
      <c r="A32" s="314">
        <f>'1-2'!A32</f>
        <v>0</v>
      </c>
      <c r="B32" s="315">
        <f>'1-2'!B32</f>
        <v>0</v>
      </c>
      <c r="C32" s="481">
        <f>'1-2'!C32</f>
        <v>0</v>
      </c>
      <c r="D32" s="265">
        <v>29</v>
      </c>
      <c r="E32" s="316">
        <f>IF($R32=1,"",VLOOKUP($D32,'1-2'!$D$4:$L$103,2))</f>
        <v>0</v>
      </c>
      <c r="F32" s="317">
        <f>IF($R32=1,"取消し",VLOOKUP($D32,'1-2'!$D$4:$L$103,3))</f>
        <v>0</v>
      </c>
      <c r="G32" s="226">
        <f>IF($R32=1,,VLOOKUP($D32,'1-2'!$D$4:$L$103,4))</f>
        <v>0</v>
      </c>
      <c r="H32" s="318">
        <f>IF($R32=1,,VLOOKUP($D32,'1-2'!$D$4:$L$103,5))</f>
        <v>0</v>
      </c>
      <c r="I32" s="318">
        <f>IF($R32=1,,VLOOKUP($D32,'1-2'!$D$4:$L$103,6))</f>
        <v>0</v>
      </c>
      <c r="J32" s="319">
        <f>IF($R32=1,,VLOOKUP($D32,'1-2'!$D$4:$L$103,7))</f>
        <v>0</v>
      </c>
      <c r="K32" s="320">
        <f t="shared" si="5"/>
        <v>0</v>
      </c>
      <c r="L32" s="321">
        <f t="shared" si="9"/>
        <v>0</v>
      </c>
      <c r="M32" s="322">
        <f t="shared" si="7"/>
        <v>0</v>
      </c>
      <c r="N32" s="322">
        <f t="shared" si="8"/>
        <v>0</v>
      </c>
      <c r="O32" s="311">
        <f t="shared" si="2"/>
        <v>0</v>
      </c>
      <c r="P32" s="312">
        <f>IF($R32=1,"",VLOOKUP($D32,'1-2'!$D$4:$L$103,8))</f>
        <v>0</v>
      </c>
      <c r="Q32" s="313">
        <f>IF($R32=1,"",VLOOKUP($D32,'1-2'!$D$4:$L$103,9))</f>
        <v>0</v>
      </c>
      <c r="R32" s="25">
        <f>IF(ISNA(MATCH($D32,'随時②-2'!$D$4:$D$18,0)),0,1)</f>
        <v>0</v>
      </c>
      <c r="S32" s="63">
        <f t="shared" si="1"/>
      </c>
      <c r="T32" s="63">
        <f t="shared" si="3"/>
      </c>
      <c r="U32" s="5">
        <f t="shared" si="4"/>
      </c>
    </row>
    <row r="33" spans="1:21" ht="13.5" customHeight="1">
      <c r="A33" s="314">
        <f>'1-2'!A33</f>
        <v>0</v>
      </c>
      <c r="B33" s="315">
        <f>'1-2'!B33</f>
        <v>0</v>
      </c>
      <c r="C33" s="481">
        <f>'1-2'!C33</f>
        <v>0</v>
      </c>
      <c r="D33" s="256">
        <v>30</v>
      </c>
      <c r="E33" s="316">
        <f>IF($R33=1,"",VLOOKUP($D33,'1-2'!$D$4:$L$103,2))</f>
        <v>0</v>
      </c>
      <c r="F33" s="317">
        <f>IF($R33=1,"取消し",VLOOKUP($D33,'1-2'!$D$4:$L$103,3))</f>
        <v>0</v>
      </c>
      <c r="G33" s="226">
        <f>IF($R33=1,,VLOOKUP($D33,'1-2'!$D$4:$L$103,4))</f>
        <v>0</v>
      </c>
      <c r="H33" s="318">
        <f>IF($R33=1,,VLOOKUP($D33,'1-2'!$D$4:$L$103,5))</f>
        <v>0</v>
      </c>
      <c r="I33" s="318">
        <f>IF($R33=1,,VLOOKUP($D33,'1-2'!$D$4:$L$103,6))</f>
        <v>0</v>
      </c>
      <c r="J33" s="319">
        <f>IF($R33=1,,VLOOKUP($D33,'1-2'!$D$4:$L$103,7))</f>
        <v>0</v>
      </c>
      <c r="K33" s="320">
        <f t="shared" si="5"/>
        <v>0</v>
      </c>
      <c r="L33" s="321">
        <f t="shared" si="9"/>
        <v>0</v>
      </c>
      <c r="M33" s="322">
        <f t="shared" si="7"/>
        <v>0</v>
      </c>
      <c r="N33" s="322">
        <f t="shared" si="8"/>
        <v>0</v>
      </c>
      <c r="O33" s="311">
        <f t="shared" si="2"/>
        <v>0</v>
      </c>
      <c r="P33" s="312">
        <f>IF($R33=1,"",VLOOKUP($D33,'1-2'!$D$4:$L$103,8))</f>
        <v>0</v>
      </c>
      <c r="Q33" s="313">
        <f>IF($R33=1,"",VLOOKUP($D33,'1-2'!$D$4:$L$103,9))</f>
        <v>0</v>
      </c>
      <c r="R33" s="25">
        <f>IF(ISNA(MATCH($D33,'随時②-2'!$D$4:$D$18,0)),0,1)</f>
        <v>0</v>
      </c>
      <c r="S33" s="63">
        <f t="shared" si="1"/>
      </c>
      <c r="T33" s="63">
        <f t="shared" si="3"/>
      </c>
      <c r="U33" s="5">
        <f t="shared" si="4"/>
      </c>
    </row>
    <row r="34" spans="1:21" ht="13.5" customHeight="1">
      <c r="A34" s="314">
        <f>'1-2'!A34</f>
        <v>0</v>
      </c>
      <c r="B34" s="315">
        <f>'1-2'!B34</f>
        <v>0</v>
      </c>
      <c r="C34" s="481">
        <f>'1-2'!C34</f>
        <v>0</v>
      </c>
      <c r="D34" s="256">
        <v>31</v>
      </c>
      <c r="E34" s="316">
        <f>IF($R34=1,"",VLOOKUP($D34,'1-2'!$D$4:$L$103,2))</f>
        <v>0</v>
      </c>
      <c r="F34" s="317">
        <f>IF($R34=1,"取消し",VLOOKUP($D34,'1-2'!$D$4:$L$103,3))</f>
        <v>0</v>
      </c>
      <c r="G34" s="226">
        <f>IF($R34=1,,VLOOKUP($D34,'1-2'!$D$4:$L$103,4))</f>
        <v>0</v>
      </c>
      <c r="H34" s="318">
        <f>IF($R34=1,,VLOOKUP($D34,'1-2'!$D$4:$L$103,5))</f>
        <v>0</v>
      </c>
      <c r="I34" s="318">
        <f>IF($R34=1,,VLOOKUP($D34,'1-2'!$D$4:$L$103,6))</f>
        <v>0</v>
      </c>
      <c r="J34" s="319">
        <f>IF($R34=1,,VLOOKUP($D34,'1-2'!$D$4:$L$103,7))</f>
        <v>0</v>
      </c>
      <c r="K34" s="320">
        <f t="shared" si="5"/>
        <v>0</v>
      </c>
      <c r="L34" s="321">
        <f t="shared" si="9"/>
        <v>0</v>
      </c>
      <c r="M34" s="322">
        <f t="shared" si="7"/>
        <v>0</v>
      </c>
      <c r="N34" s="322">
        <f t="shared" si="8"/>
        <v>0</v>
      </c>
      <c r="O34" s="311">
        <f t="shared" si="2"/>
        <v>0</v>
      </c>
      <c r="P34" s="312">
        <f>IF($R34=1,"",VLOOKUP($D34,'1-2'!$D$4:$L$103,8))</f>
        <v>0</v>
      </c>
      <c r="Q34" s="313">
        <f>IF($R34=1,"",VLOOKUP($D34,'1-2'!$D$4:$L$103,9))</f>
        <v>0</v>
      </c>
      <c r="R34" s="25">
        <f>IF(ISNA(MATCH($D34,'随時②-2'!$D$4:$D$18,0)),0,1)</f>
        <v>0</v>
      </c>
      <c r="S34" s="63">
        <f t="shared" si="1"/>
      </c>
      <c r="T34" s="63">
        <f t="shared" si="3"/>
      </c>
      <c r="U34" s="5">
        <f t="shared" si="4"/>
      </c>
    </row>
    <row r="35" spans="1:21" ht="13.5" customHeight="1">
      <c r="A35" s="314">
        <f>'1-2'!A35</f>
        <v>0</v>
      </c>
      <c r="B35" s="315">
        <f>'1-2'!B35</f>
        <v>0</v>
      </c>
      <c r="C35" s="481">
        <f>'1-2'!C35</f>
        <v>0</v>
      </c>
      <c r="D35" s="256">
        <v>32</v>
      </c>
      <c r="E35" s="316">
        <f>IF($R35=1,"",VLOOKUP($D35,'1-2'!$D$4:$L$103,2))</f>
        <v>0</v>
      </c>
      <c r="F35" s="317">
        <f>IF($R35=1,"取消し",VLOOKUP($D35,'1-2'!$D$4:$L$103,3))</f>
        <v>0</v>
      </c>
      <c r="G35" s="226">
        <f>IF($R35=1,,VLOOKUP($D35,'1-2'!$D$4:$L$103,4))</f>
        <v>0</v>
      </c>
      <c r="H35" s="318">
        <f>IF($R35=1,,VLOOKUP($D35,'1-2'!$D$4:$L$103,5))</f>
        <v>0</v>
      </c>
      <c r="I35" s="318">
        <f>IF($R35=1,,VLOOKUP($D35,'1-2'!$D$4:$L$103,6))</f>
        <v>0</v>
      </c>
      <c r="J35" s="319">
        <f>IF($R35=1,,VLOOKUP($D35,'1-2'!$D$4:$L$103,7))</f>
        <v>0</v>
      </c>
      <c r="K35" s="320">
        <f t="shared" si="5"/>
        <v>0</v>
      </c>
      <c r="L35" s="321">
        <f t="shared" si="9"/>
        <v>0</v>
      </c>
      <c r="M35" s="322">
        <f t="shared" si="7"/>
        <v>0</v>
      </c>
      <c r="N35" s="322">
        <f t="shared" si="8"/>
        <v>0</v>
      </c>
      <c r="O35" s="311">
        <f t="shared" si="2"/>
        <v>0</v>
      </c>
      <c r="P35" s="312">
        <f>IF($R35=1,"",VLOOKUP($D35,'1-2'!$D$4:$L$103,8))</f>
        <v>0</v>
      </c>
      <c r="Q35" s="313">
        <f>IF($R35=1,"",VLOOKUP($D35,'1-2'!$D$4:$L$103,9))</f>
        <v>0</v>
      </c>
      <c r="R35" s="25">
        <f>IF(ISNA(MATCH($D35,'随時②-2'!$D$4:$D$18,0)),0,1)</f>
        <v>0</v>
      </c>
      <c r="S35" s="63">
        <f t="shared" si="1"/>
      </c>
      <c r="T35" s="63">
        <f t="shared" si="3"/>
      </c>
      <c r="U35" s="5">
        <f t="shared" si="4"/>
      </c>
    </row>
    <row r="36" spans="1:21" ht="13.5" customHeight="1">
      <c r="A36" s="314">
        <f>'1-2'!A36</f>
        <v>0</v>
      </c>
      <c r="B36" s="315">
        <f>'1-2'!B36</f>
        <v>0</v>
      </c>
      <c r="C36" s="481">
        <f>'1-2'!C36</f>
        <v>0</v>
      </c>
      <c r="D36" s="256">
        <v>33</v>
      </c>
      <c r="E36" s="316">
        <f>IF($R36=1,"",VLOOKUP($D36,'1-2'!$D$4:$L$103,2))</f>
        <v>0</v>
      </c>
      <c r="F36" s="317">
        <f>IF($R36=1,"取消し",VLOOKUP($D36,'1-2'!$D$4:$L$103,3))</f>
        <v>0</v>
      </c>
      <c r="G36" s="226">
        <f>IF($R36=1,,VLOOKUP($D36,'1-2'!$D$4:$L$103,4))</f>
        <v>0</v>
      </c>
      <c r="H36" s="318">
        <f>IF($R36=1,,VLOOKUP($D36,'1-2'!$D$4:$L$103,5))</f>
        <v>0</v>
      </c>
      <c r="I36" s="318">
        <f>IF($R36=1,,VLOOKUP($D36,'1-2'!$D$4:$L$103,6))</f>
        <v>0</v>
      </c>
      <c r="J36" s="319">
        <f>IF($R36=1,,VLOOKUP($D36,'1-2'!$D$4:$L$103,7))</f>
        <v>0</v>
      </c>
      <c r="K36" s="320">
        <f t="shared" si="5"/>
        <v>0</v>
      </c>
      <c r="L36" s="321">
        <f t="shared" si="9"/>
        <v>0</v>
      </c>
      <c r="M36" s="322">
        <f t="shared" si="7"/>
        <v>0</v>
      </c>
      <c r="N36" s="322">
        <f t="shared" si="8"/>
        <v>0</v>
      </c>
      <c r="O36" s="311">
        <f t="shared" si="2"/>
        <v>0</v>
      </c>
      <c r="P36" s="312">
        <f>IF($R36=1,"",VLOOKUP($D36,'1-2'!$D$4:$L$103,8))</f>
        <v>0</v>
      </c>
      <c r="Q36" s="313">
        <f>IF($R36=1,"",VLOOKUP($D36,'1-2'!$D$4:$L$103,9))</f>
        <v>0</v>
      </c>
      <c r="R36" s="25">
        <f>IF(ISNA(MATCH($D36,'随時②-2'!$D$4:$D$18,0)),0,1)</f>
        <v>0</v>
      </c>
      <c r="S36" s="63">
        <f t="shared" si="1"/>
      </c>
      <c r="T36" s="63">
        <f t="shared" si="3"/>
      </c>
      <c r="U36" s="5">
        <f t="shared" si="4"/>
      </c>
    </row>
    <row r="37" spans="1:21" ht="13.5" customHeight="1">
      <c r="A37" s="314">
        <f>'1-2'!A37</f>
        <v>0</v>
      </c>
      <c r="B37" s="315">
        <f>'1-2'!B37</f>
        <v>0</v>
      </c>
      <c r="C37" s="481">
        <f>'1-2'!C37</f>
        <v>0</v>
      </c>
      <c r="D37" s="256">
        <v>34</v>
      </c>
      <c r="E37" s="316">
        <f>IF($R37=1,"",VLOOKUP($D37,'1-2'!$D$4:$L$103,2))</f>
        <v>0</v>
      </c>
      <c r="F37" s="317">
        <f>IF($R37=1,"取消し",VLOOKUP($D37,'1-2'!$D$4:$L$103,3))</f>
        <v>0</v>
      </c>
      <c r="G37" s="226">
        <f>IF($R37=1,,VLOOKUP($D37,'1-2'!$D$4:$L$103,4))</f>
        <v>0</v>
      </c>
      <c r="H37" s="318">
        <f>IF($R37=1,,VLOOKUP($D37,'1-2'!$D$4:$L$103,5))</f>
        <v>0</v>
      </c>
      <c r="I37" s="318">
        <f>IF($R37=1,,VLOOKUP($D37,'1-2'!$D$4:$L$103,6))</f>
        <v>0</v>
      </c>
      <c r="J37" s="319">
        <f>IF($R37=1,,VLOOKUP($D37,'1-2'!$D$4:$L$103,7))</f>
        <v>0</v>
      </c>
      <c r="K37" s="320">
        <f t="shared" si="5"/>
        <v>0</v>
      </c>
      <c r="L37" s="321">
        <f t="shared" si="9"/>
        <v>0</v>
      </c>
      <c r="M37" s="322">
        <f t="shared" si="7"/>
        <v>0</v>
      </c>
      <c r="N37" s="322">
        <f t="shared" si="8"/>
        <v>0</v>
      </c>
      <c r="O37" s="311">
        <f t="shared" si="2"/>
        <v>0</v>
      </c>
      <c r="P37" s="312">
        <f>IF($R37=1,"",VLOOKUP($D37,'1-2'!$D$4:$L$103,8))</f>
        <v>0</v>
      </c>
      <c r="Q37" s="313">
        <f>IF($R37=1,"",VLOOKUP($D37,'1-2'!$D$4:$L$103,9))</f>
        <v>0</v>
      </c>
      <c r="R37" s="25">
        <f>IF(ISNA(MATCH($D37,'随時②-2'!$D$4:$D$18,0)),0,1)</f>
        <v>0</v>
      </c>
      <c r="S37" s="63">
        <f t="shared" si="1"/>
      </c>
      <c r="T37" s="63">
        <f t="shared" si="3"/>
      </c>
      <c r="U37" s="5">
        <f t="shared" si="4"/>
      </c>
    </row>
    <row r="38" spans="1:21" ht="13.5" customHeight="1">
      <c r="A38" s="314">
        <f>'1-2'!A38</f>
        <v>0</v>
      </c>
      <c r="B38" s="315">
        <f>'1-2'!B38</f>
        <v>0</v>
      </c>
      <c r="C38" s="481">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1">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1">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1">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1">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1">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1">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1">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1">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1">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1">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1">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1">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1">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1">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1">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1">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1">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1">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1">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1">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1">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1">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1">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1">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1">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1">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1">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1">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1">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1">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1">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1">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1">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1">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1">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1">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1">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1">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1">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1">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1">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1">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1">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1">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1">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1">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1">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1">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1">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1">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1">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1">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1">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1">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1">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1">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1">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1">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1">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1">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1">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1">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1">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1">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2">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3">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3">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3">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3">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3">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3">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3">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3">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3">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3">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3">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3">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3">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3">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3">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3">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3">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3">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3">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2">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0</v>
      </c>
      <c r="B124" s="340">
        <f>'随時②-2'!B21</f>
        <v>0</v>
      </c>
      <c r="C124" s="483">
        <f>'随時②-2'!C21</f>
        <v>0</v>
      </c>
      <c r="D124" s="265">
        <v>201</v>
      </c>
      <c r="E124" s="317">
        <f>IF($R124=1,"",VLOOKUP($D124,'随時②-2'!$D$21:$L$35,2))</f>
        <v>0</v>
      </c>
      <c r="F124" s="317">
        <f>IF($R124=1,"取消し",VLOOKUP($D124,'随時②-2'!$D$21:$L$35,3))</f>
        <v>0</v>
      </c>
      <c r="G124" s="226">
        <f>IF($R124=1,,VLOOKUP($D124,'随時②-2'!$D$21:$L$35,4))</f>
        <v>0</v>
      </c>
      <c r="H124" s="318">
        <f>IF($R124=1,,VLOOKUP($D124,'随時②-2'!$D$21:$L$35,5))</f>
        <v>0</v>
      </c>
      <c r="I124" s="318">
        <f>IF($R124=1,,VLOOKUP($D124,'随時②-2'!$D$21:$L$35,6))</f>
        <v>0</v>
      </c>
      <c r="J124" s="319">
        <f>IF($R124=1,,VLOOKUP($D124,'随時②-2'!$D$21:$L$35,7))</f>
        <v>0</v>
      </c>
      <c r="K124" s="341">
        <f t="shared" si="14"/>
        <v>0</v>
      </c>
      <c r="L124" s="342">
        <f t="shared" si="15"/>
        <v>0</v>
      </c>
      <c r="M124" s="310">
        <f t="shared" si="16"/>
        <v>0</v>
      </c>
      <c r="N124" s="310">
        <f t="shared" si="17"/>
        <v>0</v>
      </c>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c>
    </row>
    <row r="125" spans="1:21" ht="13.5" customHeight="1">
      <c r="A125" s="314">
        <f>'随時②-2'!A22</f>
        <v>0</v>
      </c>
      <c r="B125" s="315">
        <f>'随時②-2'!B22</f>
        <v>0</v>
      </c>
      <c r="C125" s="481">
        <f>'随時②-2'!C22</f>
        <v>0</v>
      </c>
      <c r="D125" s="256">
        <v>202</v>
      </c>
      <c r="E125" s="316">
        <f>IF($R125=1,"",VLOOKUP($D125,'随時②-2'!$D$21:$L$35,2))</f>
        <v>0</v>
      </c>
      <c r="F125" s="316">
        <f>IF($R125=1,"取消し",VLOOKUP($D125,'随時②-2'!$D$21:$L$35,3))</f>
        <v>0</v>
      </c>
      <c r="G125" s="323">
        <f>IF($R125=1,,VLOOKUP($D125,'随時②-2'!$D$21:$L$35,4))</f>
        <v>0</v>
      </c>
      <c r="H125" s="324">
        <f>IF($R125=1,,VLOOKUP($D125,'随時②-2'!$D$21:$L$35,5))</f>
        <v>0</v>
      </c>
      <c r="I125" s="324">
        <f>IF($R125=1,,VLOOKUP($D125,'随時②-2'!$D$21:$L$35,6))</f>
        <v>0</v>
      </c>
      <c r="J125" s="325">
        <f>IF($R125=1,,VLOOKUP($D125,'随時②-2'!$D$21:$L$35,7))</f>
        <v>0</v>
      </c>
      <c r="K125" s="320">
        <f t="shared" si="14"/>
        <v>0</v>
      </c>
      <c r="L125" s="321">
        <f t="shared" si="15"/>
        <v>0</v>
      </c>
      <c r="M125" s="343">
        <f t="shared" si="16"/>
        <v>0</v>
      </c>
      <c r="N125" s="343">
        <f t="shared" si="17"/>
        <v>0</v>
      </c>
      <c r="O125" s="311">
        <f t="shared" si="11"/>
        <v>0</v>
      </c>
      <c r="P125" s="312">
        <f>IF($R125=1,"",VLOOKUP($D125,'随時②-2'!$D$21:$L$35,8))</f>
        <v>0</v>
      </c>
      <c r="Q125" s="313">
        <f>IF($R125=1,"",VLOOKUP($D125,'随時②-2'!$D$21:$L$35,9))</f>
        <v>0</v>
      </c>
      <c r="R125" s="25">
        <f>IF(ISNA(MATCH($D125,'随時②-2'!$D$4:$D$18,0)),0,1)</f>
        <v>0</v>
      </c>
      <c r="S125" s="63">
        <f t="shared" si="10"/>
      </c>
      <c r="T125" s="63">
        <f t="shared" si="12"/>
      </c>
      <c r="U125" s="5">
        <f t="shared" si="13"/>
      </c>
    </row>
    <row r="126" spans="1:21" ht="13.5" customHeight="1">
      <c r="A126" s="314">
        <f>'随時②-2'!A23</f>
        <v>0</v>
      </c>
      <c r="B126" s="315">
        <f>'随時②-2'!B23</f>
        <v>0</v>
      </c>
      <c r="C126" s="481">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1">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1">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1">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1">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1">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1">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1">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1">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1">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1">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1">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1">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84" t="s">
        <v>178</v>
      </c>
      <c r="I141" s="585"/>
      <c r="J141" s="38" t="s">
        <v>113</v>
      </c>
      <c r="K141" s="38" t="s">
        <v>175</v>
      </c>
      <c r="L141" s="539" t="s">
        <v>176</v>
      </c>
      <c r="M141" s="586"/>
      <c r="N141" s="587" t="s">
        <v>177</v>
      </c>
      <c r="O141" s="588"/>
      <c r="P141" s="602" t="s">
        <v>114</v>
      </c>
      <c r="Q141" s="603"/>
    </row>
    <row r="142" spans="6:17" ht="14.25" thickTop="1">
      <c r="F142" s="348" t="s">
        <v>85</v>
      </c>
      <c r="G142" s="349">
        <f>SUMIF($E$4:$E$138,$F142,$J$4:$J$138)</f>
        <v>130000</v>
      </c>
      <c r="H142" s="589">
        <f>SUMIF($E$4:$E$138,$F142,$S$4:$S$138)</f>
        <v>0</v>
      </c>
      <c r="I142" s="590"/>
      <c r="J142" s="350">
        <f>G142-H142</f>
        <v>130000</v>
      </c>
      <c r="K142" s="349">
        <f>SUMIF($E$4:$E$138,$F142,$O$4:$O$138)</f>
        <v>115000</v>
      </c>
      <c r="L142" s="589">
        <f>SUMIF($E$4:$E$138,$F142,$T$4:$T$138)</f>
        <v>0</v>
      </c>
      <c r="M142" s="591"/>
      <c r="N142" s="592">
        <f>K142-L142</f>
        <v>115000</v>
      </c>
      <c r="O142" s="593"/>
      <c r="P142" s="530">
        <f>J142-N142</f>
        <v>15000</v>
      </c>
      <c r="Q142" s="604"/>
    </row>
    <row r="143" spans="6:17" ht="13.5">
      <c r="F143" s="348" t="s">
        <v>86</v>
      </c>
      <c r="G143" s="351">
        <f aca="true" t="shared" si="22" ref="G143:G150">SUMIF($E$4:$E$138,$F143,$J$4:$J$138)</f>
        <v>205000</v>
      </c>
      <c r="H143" s="527">
        <f>SUMIF($E$4:$E$138,$F143,$S$4:$S$138)</f>
        <v>0</v>
      </c>
      <c r="I143" s="582"/>
      <c r="J143" s="352">
        <f>G143-H143</f>
        <v>205000</v>
      </c>
      <c r="K143" s="349">
        <f aca="true" t="shared" si="23" ref="K143:K150">SUMIF($E$4:$E$138,$F143,$O$4:$O$138)</f>
        <v>189950</v>
      </c>
      <c r="L143" s="526">
        <f aca="true" t="shared" si="24" ref="L143:L149">SUMIF($E$4:$E$138,$F143,$T$4:$T$138)</f>
        <v>0</v>
      </c>
      <c r="M143" s="529"/>
      <c r="N143" s="583">
        <f>K143-L143</f>
        <v>189950</v>
      </c>
      <c r="O143" s="582"/>
      <c r="P143" s="526">
        <f aca="true" t="shared" si="25" ref="P143:P150">J143-N143</f>
        <v>15050</v>
      </c>
      <c r="Q143" s="529"/>
    </row>
    <row r="144" spans="6:17" ht="13.5">
      <c r="F144" s="348" t="s">
        <v>125</v>
      </c>
      <c r="G144" s="349">
        <f t="shared" si="22"/>
        <v>747070</v>
      </c>
      <c r="H144" s="527">
        <f aca="true" t="shared" si="26" ref="H144:H149">SUMIF($E$4:$E$138,$F144,$S$4:$S$138)</f>
        <v>0</v>
      </c>
      <c r="I144" s="582"/>
      <c r="J144" s="352">
        <f aca="true" t="shared" si="27" ref="J144:J150">G144-H144</f>
        <v>747070</v>
      </c>
      <c r="K144" s="349">
        <f t="shared" si="23"/>
        <v>747070</v>
      </c>
      <c r="L144" s="526">
        <f t="shared" si="24"/>
        <v>0</v>
      </c>
      <c r="M144" s="529"/>
      <c r="N144" s="583">
        <f aca="true" t="shared" si="28" ref="N144:N150">K144-L144</f>
        <v>747070</v>
      </c>
      <c r="O144" s="582"/>
      <c r="P144" s="526">
        <f t="shared" si="25"/>
        <v>0</v>
      </c>
      <c r="Q144" s="529"/>
    </row>
    <row r="145" spans="6:17" ht="13.5">
      <c r="F145" s="348" t="s">
        <v>126</v>
      </c>
      <c r="G145" s="349">
        <f t="shared" si="22"/>
        <v>0</v>
      </c>
      <c r="H145" s="527">
        <f t="shared" si="26"/>
        <v>0</v>
      </c>
      <c r="I145" s="582"/>
      <c r="J145" s="352">
        <f t="shared" si="27"/>
        <v>0</v>
      </c>
      <c r="K145" s="349">
        <f t="shared" si="23"/>
        <v>0</v>
      </c>
      <c r="L145" s="526">
        <f t="shared" si="24"/>
        <v>0</v>
      </c>
      <c r="M145" s="529"/>
      <c r="N145" s="583">
        <f t="shared" si="28"/>
        <v>0</v>
      </c>
      <c r="O145" s="582"/>
      <c r="P145" s="526">
        <f t="shared" si="25"/>
        <v>0</v>
      </c>
      <c r="Q145" s="529"/>
    </row>
    <row r="146" spans="6:17" ht="13.5">
      <c r="F146" s="348" t="s">
        <v>87</v>
      </c>
      <c r="G146" s="349">
        <f t="shared" si="22"/>
        <v>0</v>
      </c>
      <c r="H146" s="527">
        <f t="shared" si="26"/>
        <v>0</v>
      </c>
      <c r="I146" s="582"/>
      <c r="J146" s="352">
        <f t="shared" si="27"/>
        <v>0</v>
      </c>
      <c r="K146" s="349">
        <f t="shared" si="23"/>
        <v>0</v>
      </c>
      <c r="L146" s="526">
        <f t="shared" si="24"/>
        <v>0</v>
      </c>
      <c r="M146" s="529"/>
      <c r="N146" s="583">
        <f t="shared" si="28"/>
        <v>0</v>
      </c>
      <c r="O146" s="582"/>
      <c r="P146" s="526">
        <f t="shared" si="25"/>
        <v>0</v>
      </c>
      <c r="Q146" s="529"/>
    </row>
    <row r="147" spans="6:17" ht="13.5">
      <c r="F147" s="348" t="s">
        <v>88</v>
      </c>
      <c r="G147" s="349">
        <f t="shared" si="22"/>
        <v>0</v>
      </c>
      <c r="H147" s="527">
        <f t="shared" si="26"/>
        <v>0</v>
      </c>
      <c r="I147" s="582"/>
      <c r="J147" s="352">
        <f t="shared" si="27"/>
        <v>0</v>
      </c>
      <c r="K147" s="349">
        <f t="shared" si="23"/>
        <v>0</v>
      </c>
      <c r="L147" s="526">
        <f t="shared" si="24"/>
        <v>0</v>
      </c>
      <c r="M147" s="529"/>
      <c r="N147" s="583">
        <f t="shared" si="28"/>
        <v>0</v>
      </c>
      <c r="O147" s="582"/>
      <c r="P147" s="526">
        <f t="shared" si="25"/>
        <v>0</v>
      </c>
      <c r="Q147" s="529"/>
    </row>
    <row r="148" spans="6:17" ht="13.5">
      <c r="F148" s="348" t="s">
        <v>89</v>
      </c>
      <c r="G148" s="349">
        <f t="shared" si="22"/>
        <v>0</v>
      </c>
      <c r="H148" s="527">
        <f t="shared" si="26"/>
        <v>0</v>
      </c>
      <c r="I148" s="582"/>
      <c r="J148" s="352">
        <f t="shared" si="27"/>
        <v>0</v>
      </c>
      <c r="K148" s="349">
        <f t="shared" si="23"/>
        <v>0</v>
      </c>
      <c r="L148" s="526">
        <f t="shared" si="24"/>
        <v>0</v>
      </c>
      <c r="M148" s="529"/>
      <c r="N148" s="583">
        <f t="shared" si="28"/>
        <v>0</v>
      </c>
      <c r="O148" s="582"/>
      <c r="P148" s="526">
        <f t="shared" si="25"/>
        <v>0</v>
      </c>
      <c r="Q148" s="529"/>
    </row>
    <row r="149" spans="6:17" ht="13.5">
      <c r="F149" s="348" t="s">
        <v>90</v>
      </c>
      <c r="G149" s="349">
        <f t="shared" si="22"/>
        <v>0</v>
      </c>
      <c r="H149" s="527">
        <f t="shared" si="26"/>
        <v>0</v>
      </c>
      <c r="I149" s="582"/>
      <c r="J149" s="352">
        <f t="shared" si="27"/>
        <v>0</v>
      </c>
      <c r="K149" s="349">
        <f t="shared" si="23"/>
        <v>0</v>
      </c>
      <c r="L149" s="526">
        <f t="shared" si="24"/>
        <v>0</v>
      </c>
      <c r="M149" s="529"/>
      <c r="N149" s="583">
        <f t="shared" si="28"/>
        <v>0</v>
      </c>
      <c r="O149" s="582"/>
      <c r="P149" s="526">
        <f t="shared" si="25"/>
        <v>0</v>
      </c>
      <c r="Q149" s="529"/>
    </row>
    <row r="150" spans="6:17" ht="14.25" thickBot="1">
      <c r="F150" s="348" t="s">
        <v>138</v>
      </c>
      <c r="G150" s="349">
        <f t="shared" si="22"/>
        <v>107930</v>
      </c>
      <c r="H150" s="527">
        <f>SUMIF($E$4:$E$138,$F150,$S$4:$S$138)+'2-3'!G122</f>
        <v>11000</v>
      </c>
      <c r="I150" s="582"/>
      <c r="J150" s="352">
        <f t="shared" si="27"/>
        <v>96930</v>
      </c>
      <c r="K150" s="349">
        <f t="shared" si="23"/>
        <v>94930</v>
      </c>
      <c r="L150" s="600">
        <f>SUMIF($E$4:$E$138,$F150,$T$4:$T$138)+'2-3'!E122</f>
        <v>11000</v>
      </c>
      <c r="M150" s="601"/>
      <c r="N150" s="583">
        <f t="shared" si="28"/>
        <v>83930</v>
      </c>
      <c r="O150" s="582"/>
      <c r="P150" s="600">
        <f t="shared" si="25"/>
        <v>13000</v>
      </c>
      <c r="Q150" s="601"/>
    </row>
    <row r="151" spans="6:17" ht="15" thickBot="1" thickTop="1">
      <c r="F151" s="355" t="s">
        <v>15</v>
      </c>
      <c r="G151" s="356">
        <f>SUM(G142:G150)</f>
        <v>1190000</v>
      </c>
      <c r="H151" s="523">
        <f>SUM(H142:I150)</f>
        <v>11000</v>
      </c>
      <c r="I151" s="596"/>
      <c r="J151" s="356">
        <f>SUM(J142:J150)</f>
        <v>1179000</v>
      </c>
      <c r="K151" s="356">
        <f>SUM(K142:K150)</f>
        <v>1146950</v>
      </c>
      <c r="L151" s="597">
        <f>SUM(L142:M150)</f>
        <v>11000</v>
      </c>
      <c r="M151" s="598"/>
      <c r="N151" s="596">
        <f>SUM(N142:O150)</f>
        <v>1135950</v>
      </c>
      <c r="O151" s="599"/>
      <c r="P151" s="597">
        <f>SUM(P142:Q150)</f>
        <v>43050</v>
      </c>
      <c r="Q151" s="59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3" activePane="bottomRight" state="frozen"/>
      <selection pane="topLeft" activeCell="E23" sqref="E23"/>
      <selection pane="topRight" activeCell="E23" sqref="E23"/>
      <selection pane="bottomLeft" activeCell="E23" sqref="E23"/>
      <selection pane="bottomRight" activeCell="E34" sqref="E3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261</v>
      </c>
      <c r="B1" s="609"/>
      <c r="C1" s="609"/>
      <c r="D1" s="609"/>
      <c r="E1" s="609"/>
      <c r="F1" s="609"/>
      <c r="G1" s="610"/>
      <c r="H1" s="610"/>
      <c r="I1" s="610"/>
    </row>
    <row r="2" spans="1:9" ht="15" customHeight="1" thickBot="1">
      <c r="A2" s="8"/>
      <c r="B2" s="7" t="s">
        <v>244</v>
      </c>
      <c r="C2" s="87"/>
      <c r="E2" s="116"/>
      <c r="F2" s="117" t="s">
        <v>112</v>
      </c>
      <c r="G2" s="210">
        <f>SUM(E5:E119)</f>
        <v>72890</v>
      </c>
      <c r="H2" s="72" t="s">
        <v>188</v>
      </c>
      <c r="I2" s="210">
        <f>SUM(H5:H119)</f>
        <v>10000</v>
      </c>
    </row>
    <row r="3" spans="1:9" ht="15" customHeight="1" thickBot="1">
      <c r="A3" s="8"/>
      <c r="B3" s="7"/>
      <c r="C3" s="87"/>
      <c r="E3" s="605" t="s">
        <v>181</v>
      </c>
      <c r="F3" s="606"/>
      <c r="G3" s="607"/>
      <c r="H3" s="605" t="s">
        <v>182</v>
      </c>
      <c r="I3" s="60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c>
      <c r="F8" s="197">
        <f>IF('1-3'!E7="","",'1-3'!E7)</f>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v>0</v>
      </c>
      <c r="F29" s="197">
        <f>IF('1-3'!E28="","",'1-3'!E28)</f>
        <v>10000</v>
      </c>
      <c r="G29" s="84">
        <f t="shared" si="1"/>
      </c>
      <c r="H29" s="211">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v>2000</v>
      </c>
      <c r="F61" s="197">
        <f>IF('1-3'!E60="","",'1-3'!E60)</f>
        <v>5000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c>
      <c r="F101" s="197">
        <f>IF('1-3'!E100="","",'1-3'!E100)</f>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72890</v>
      </c>
      <c r="F121" s="118" t="s">
        <v>186</v>
      </c>
      <c r="G121" s="183">
        <f>SUM(F5:F119)</f>
        <v>85890</v>
      </c>
      <c r="H121" s="121" t="s">
        <v>190</v>
      </c>
      <c r="I121" s="183">
        <f>I2</f>
        <v>10000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61890</v>
      </c>
      <c r="F123" s="120" t="s">
        <v>187</v>
      </c>
      <c r="G123" s="185">
        <f>G121-G122</f>
        <v>74890</v>
      </c>
      <c r="H123" s="44" t="s">
        <v>189</v>
      </c>
      <c r="I123" s="185">
        <f>I121-I122</f>
        <v>10000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2018-03-28T09:05:16Z</cp:lastPrinted>
  <dcterms:created xsi:type="dcterms:W3CDTF">2007-02-21T01:05:33Z</dcterms:created>
  <dcterms:modified xsi:type="dcterms:W3CDTF">2018-05-25T01:31:03Z</dcterms:modified>
  <cp:category/>
  <cp:version/>
  <cp:contentType/>
  <cp:contentStatus/>
</cp:coreProperties>
</file>