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'3-2'!$A$1:$Q$53</definedName>
    <definedName name="_xlnm.Print_Area" localSheetId="2">'3-3'!$A$1:$F$22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<sst xmlns="http://schemas.openxmlformats.org/spreadsheetml/2006/main" count="865" uniqueCount="346">
  <si>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</si>
  <si>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</si>
  <si>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</si>
  <si>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</si>
  <si>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</si>
  <si>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</si>
  <si>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</si>
  <si>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</si>
  <si>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</si>
  <si>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</si>
  <si>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</si>
  <si>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</si>
  <si>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</si>
  <si>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</si>
  <si>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</si>
  <si>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</si>
  <si>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</si>
  <si>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</si>
  <si>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</si>
  <si>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</si>
  <si>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</si>
  <si>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</si>
  <si>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</si>
  <si>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</si>
  <si>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</si>
  <si>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</si>
  <si>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</si>
  <si>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</si>
  <si>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</si>
  <si>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</si>
  <si>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</si>
  <si>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</si>
  <si>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</si>
  <si>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</si>
  <si>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</si>
  <si>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</si>
  <si>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</si>
  <si>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</si>
  <si>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</si>
  <si>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</si>
  <si>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</si>
  <si>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</si>
  <si>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</si>
  <si>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</si>
  <si>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</si>
  <si>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</si>
  <si>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</si>
  <si>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</si>
  <si>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</si>
  <si>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</si>
  <si>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</si>
  <si>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</si>
  <si>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</si>
  <si>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</si>
  <si>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</si>
  <si>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</si>
  <si>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</si>
  <si>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</si>
  <si>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</si>
  <si>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</si>
  <si>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</si>
  <si>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</si>
  <si>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</si>
  <si>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</si>
  <si>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</si>
  <si>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</si>
  <si>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</si>
  <si>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</si>
  <si>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</si>
  <si>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</si>
  <si>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</si>
  <si>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</si>
  <si>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</si>
  <si>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</si>
  <si>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</si>
  <si>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</si>
  <si>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</si>
  <si>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</si>
  <si>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</si>
  <si>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</si>
  <si>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</si>
  <si>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</si>
  <si>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</si>
  <si>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</si>
  <si>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</si>
  <si>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</si>
  <si>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</si>
  <si>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</si>
  <si>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</si>
  <si>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</si>
  <si>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</si>
  <si>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</si>
  <si>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</si>
  <si>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</si>
  <si>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</si>
  <si>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</si>
  <si>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</si>
  <si>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</si>
  <si>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</si>
  <si>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</si>
  <si>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</si>
  <si>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</si>
  <si>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</si>
  <si>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</si>
  <si>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</si>
  <si>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</si>
  <si>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</si>
  <si>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</si>
  <si>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</si>
  <si>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</si>
  <si>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</si>
  <si>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</si>
  <si>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</si>
  <si>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</si>
  <si>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</si>
  <si>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</si>
  <si>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</si>
  <si>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</si>
  <si>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</si>
  <si>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</si>
  <si>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</si>
  <si>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</si>
  <si>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</si>
  <si>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</si>
  <si>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</si>
  <si>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</si>
  <si>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</si>
  <si>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</si>
  <si>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</si>
  <si>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</si>
  <si>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</si>
  <si>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</si>
  <si>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</si>
  <si>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</si>
  <si>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</si>
  <si>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</si>
  <si>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</si>
  <si>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</si>
  <si>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</si>
  <si>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</si>
  <si>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</si>
  <si>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</si>
  <si>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</si>
  <si>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</si>
  <si>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</si>
  <si>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</si>
  <si>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</si>
  <si>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</si>
  <si>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</si>
  <si>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</si>
  <si>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</si>
  <si>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</si>
  <si>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</si>
  <si>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</si>
  <si>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</si>
  <si>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</si>
  <si>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</si>
  <si>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</si>
  <si>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</si>
  <si>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</si>
  <si>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</si>
  <si>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</si>
  <si>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</si>
  <si>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</si>
  <si>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</si>
  <si>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</si>
  <si>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</si>
  <si>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</si>
  <si>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</si>
  <si>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</si>
  <si>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</si>
  <si>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</si>
  <si>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</si>
  <si>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</si>
  <si>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</si>
  <si>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</si>
  <si>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</si>
  <si>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</si>
  <si>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</si>
  <si>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</si>
  <si>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</si>
  <si>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</si>
  <si>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</si>
  <si>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</si>
  <si>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</si>
  <si>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</si>
  <si>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</si>
  <si>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</si>
  <si>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</si>
  <si>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</si>
  <si>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</si>
  <si>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</si>
  <si>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</si>
  <si>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</si>
  <si>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</si>
  <si>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</si>
  <si>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</si>
  <si>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</si>
  <si>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</si>
  <si>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</si>
  <si>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</si>
  <si>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</si>
  <si>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</si>
  <si>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</si>
  <si>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</si>
  <si>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</si>
  <si>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</si>
  <si>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</si>
  <si>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</si>
  <si>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</si>
  <si>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</si>
  <si>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</si>
  <si>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</si>
  <si>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</si>
  <si>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</si>
  <si>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</si>
  <si>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</si>
  <si>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</si>
  <si>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</si>
  <si>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</si>
  <si>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</si>
  <si>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</si>
  <si>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</si>
  <si>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</si>
  <si>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</si>
  <si>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</si>
  <si>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</si>
  <si>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</si>
  <si>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</si>
  <si>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</si>
  <si>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</si>
  <si>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</si>
  <si>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</si>
  <si>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</si>
  <si>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</si>
  <si>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</si>
  <si>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</si>
  <si>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</si>
  <si>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</si>
  <si>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</si>
  <si>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</si>
  <si>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</si>
  <si>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</si>
  <si>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</si>
  <si>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</si>
  <si>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</si>
  <si>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</si>
  <si>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</si>
  <si>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</si>
  <si>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</si>
  <si>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</si>
  <si>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</si>
  <si>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</si>
  <si>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</si>
  <si>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</si>
  <si>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</si>
  <si>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</si>
  <si>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</si>
  <si>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</si>
  <si>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</si>
  <si>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</si>
  <si>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</si>
  <si>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</si>
  <si>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</si>
  <si>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</si>
  <si>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</si>
  <si>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</si>
  <si>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</si>
  <si>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</si>
  <si>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</si>
  <si>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</si>
  <si>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1-(2)</t>
  </si>
  <si>
    <t>学習意欲の向上、学習内容の深化</t>
  </si>
  <si>
    <t>授業アンケート集計発送費</t>
  </si>
  <si>
    <t>アクティブラーニング研修旅費</t>
  </si>
  <si>
    <t>2-(1)</t>
  </si>
  <si>
    <t>キャリア教育の更なる充実</t>
  </si>
  <si>
    <t>企業訪問旅費</t>
  </si>
  <si>
    <t>企業向け学校案内等発送</t>
  </si>
  <si>
    <t>スクールソーシャルカウンセラー謝金</t>
  </si>
  <si>
    <t>スクールカウンセラー謝金</t>
  </si>
  <si>
    <t>職員研修講師謝金</t>
  </si>
  <si>
    <t>就職コーディネーター謝金</t>
  </si>
  <si>
    <t>職員研修講師旅費</t>
  </si>
  <si>
    <t>図書等消耗品</t>
  </si>
  <si>
    <t>3-(2)</t>
  </si>
  <si>
    <t>生徒の自己理解を深め、自尊感情、自己</t>
  </si>
  <si>
    <t>4-(1)</t>
  </si>
  <si>
    <t>教職員の力量と本校の信頼度アップ</t>
  </si>
  <si>
    <t>全国校長協会総会</t>
  </si>
  <si>
    <t>中学校訪問旅費</t>
  </si>
  <si>
    <t>全国校長協会総会資料</t>
  </si>
  <si>
    <t>学校案内、ポスター作製費</t>
  </si>
  <si>
    <t>広報活動用消耗品</t>
  </si>
  <si>
    <t>学校説明会模擬授業用消耗品</t>
  </si>
  <si>
    <t>学校説明会案内送付費</t>
  </si>
  <si>
    <t>保護者懇談会等案内送付費</t>
  </si>
  <si>
    <t>各種団体負担金</t>
  </si>
  <si>
    <t>全国校長協会総会参加費</t>
  </si>
  <si>
    <t>◎</t>
  </si>
  <si>
    <t>　校長　綾井　俊行　</t>
  </si>
  <si>
    <t>（学校番号：408）</t>
  </si>
  <si>
    <t>（財務会計コード番号：10452）</t>
  </si>
  <si>
    <t>　福泉高第41号　</t>
  </si>
  <si>
    <t>（学校番号:408）</t>
  </si>
  <si>
    <t>　　平成２９年　８　月　24　日</t>
  </si>
  <si>
    <t>1-(ｲ)-ｲ</t>
  </si>
  <si>
    <t>授業アンケート集計・発送費</t>
  </si>
  <si>
    <t>1-(2)</t>
  </si>
  <si>
    <t>（様式２－２）NO.1</t>
  </si>
  <si>
    <t>（様式２－２）NO.４</t>
  </si>
  <si>
    <t>（様式２－２）NO.５</t>
  </si>
  <si>
    <t>生徒の自己理解を深め、自尊感情、自己有用</t>
  </si>
  <si>
    <t>（様式２－２）NO.８</t>
  </si>
  <si>
    <t>（様式２－２）NO.９</t>
  </si>
  <si>
    <t>（様式２－２）NO.１１</t>
  </si>
  <si>
    <t>（様式２－２）NO.１３</t>
  </si>
  <si>
    <t>全国校長会</t>
  </si>
  <si>
    <t>広報活動用消耗品</t>
  </si>
  <si>
    <t>3-(2)</t>
  </si>
  <si>
    <t>2-(1)</t>
  </si>
  <si>
    <t>4-(１)</t>
  </si>
  <si>
    <t>進路就職先進校視察</t>
  </si>
  <si>
    <t>府立福泉高等学校　</t>
  </si>
  <si>
    <t>　　　　　 　　　府立福泉高等学校</t>
  </si>
  <si>
    <t>（様式２－２）NO.2</t>
  </si>
  <si>
    <t>（様式２－２）NO.１７</t>
  </si>
  <si>
    <t>　福泉高 第73号　</t>
  </si>
  <si>
    <t>（様式２－２）NO.１９</t>
  </si>
  <si>
    <t>（様式２－２）NO.２０</t>
  </si>
  <si>
    <t>（様式２－２）NO.２１</t>
  </si>
  <si>
    <t>（様式２－２）NO.２２</t>
  </si>
  <si>
    <t>（様式２－２）NO.２３</t>
  </si>
  <si>
    <t>１－（２）</t>
  </si>
  <si>
    <t>１－（イ）－イ</t>
  </si>
  <si>
    <t>２－（１）</t>
  </si>
  <si>
    <t>３－（２）</t>
  </si>
  <si>
    <t>生徒の自己理解を深め、自尊感情、自己有用感の向上を図る</t>
  </si>
  <si>
    <t>４－（１）</t>
  </si>
  <si>
    <t>「企業訪問旅費等」　教員が企業を直接知ることにより、生徒に今後の生き方を考える日常的環境ができ、キャリア教育の原点として効率よく機能している。</t>
  </si>
  <si>
    <t>「広報活動用消耗品・中学校訪問費・学校案内等」　校内授業研究や中学校との連携等が今年度は昨年度以上に活発に行われた。特に中学校の授業見学は恒例行事化し、信頼度は大きくアップしたと自負する。</t>
  </si>
  <si>
    <t>「スクールカウンセラー謝金、スクールソーシャルワーカー謝金、就職コーディネーター謝金」等は、日常で支援を要する生徒が多くなる中、安全で安心な環境づくりという観点からも、生徒の落ち着きも実感でき、支援体制もより細やかにできることとなった。</t>
  </si>
  <si>
    <t>「授業アンケート集計・発送費」として、生徒に対する学校生活の改善を講じるための手段に活用。
生徒個々の学習意欲向上および深化を図る有効なツールの一つとして大いに役立っている。</t>
  </si>
  <si>
    <t>アクティブ・ラーニング研修参加者を講師として、校内研修で情報を共有化し、授業改善充実のベースとして活用中。生徒の学習意欲に確実に結びついている。また、教員間の活性化も同時に図ることができ、この研修は本校にとって高く評価できるものと考える。</t>
  </si>
  <si>
    <t>　 福泉高 第117号　</t>
  </si>
  <si>
    <t>　標記につきまして、平成29年度の執行状況及び実施内容を、下記のとおり報告します。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</si>
</sst>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lt;=999]000;[&lt;=9999]000\-00;000\-000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top>
        <color indexed="63"/>
      </top>
      <bottom style="thin"/>
    </border>
    <border>
      <left/>
      <right style="thin"/>
      <top>
        <color indexed="63"/>
      </top>
      <bottom style="thin"/>
    </border>
    <border>
      <left/>
      <right/>
      <top style="thin"/>
      <bottom style="medium"/>
    </border>
    <border>
      <left/>
      <right style="thin"/>
      <top style="thin"/>
      <bottom style="medium"/>
    </border>
    <border>
      <left/>
      <right style="medium"/>
      <top style="medium"/>
      <bottom style="medium"/>
    </border>
    <border>
      <left style="thin"/>
      <right>
        <color indexed="63"/>
      </right>
      <top style="thin"/>
      <bottom style="medium"/>
    </border>
    <border>
      <left style="thin"/>
      <right/>
      <top style="medium"/>
      <bottom style="medium"/>
    </border>
    <border>
      <left style="thin"/>
      <right/>
      <top style="medium"/>
      <bottom>
        <color indexed="63"/>
      </bottom>
    </border>
    <border>
      <left>
        <color indexed="63"/>
      </left>
      <right style="thin"/>
      <top style="medium"/>
      <bottom/>
    </border>
    <border>
      <left style="thin"/>
      <right>
        <color indexed="63"/>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right style="thin"/>
      <top style="medium"/>
      <bottom style="medium"/>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4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0" fillId="6" borderId="88" xfId="0" applyFont="1" applyFill="1" applyBorder="1" applyAlignment="1" applyProtection="1">
      <alignment horizontal="left" vertical="center" wrapText="1"/>
      <protection locked="0"/>
    </xf>
    <xf numFmtId="0" fontId="21" fillId="6" borderId="88" xfId="0" applyFont="1" applyFill="1" applyBorder="1" applyAlignment="1" applyProtection="1">
      <alignment horizontal="left" vertical="center" wrapText="1"/>
      <protection locked="0"/>
    </xf>
    <xf numFmtId="0" fontId="10" fillId="6" borderId="90"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wrapText="1"/>
      <protection locked="0"/>
    </xf>
    <xf numFmtId="0" fontId="7" fillId="6" borderId="65" xfId="0" applyFont="1" applyFill="1" applyBorder="1" applyAlignment="1" applyProtection="1">
      <alignment horizontal="center" vertical="center"/>
      <protection locked="0"/>
    </xf>
    <xf numFmtId="0" fontId="19" fillId="6" borderId="79" xfId="0" applyFont="1" applyFill="1" applyBorder="1" applyAlignment="1" applyProtection="1">
      <alignment horizontal="center" vertical="center" wrapTex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8" xfId="57" applyFont="1" applyFill="1" applyBorder="1" applyAlignment="1" applyProtection="1">
      <alignment horizontal="center" vertical="center"/>
      <protection/>
    </xf>
    <xf numFmtId="0" fontId="7" fillId="6" borderId="179"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0"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1" xfId="0" applyFont="1" applyBorder="1" applyAlignment="1" applyProtection="1">
      <alignment horizontal="center" vertical="center"/>
      <protection/>
    </xf>
    <xf numFmtId="0" fontId="7" fillId="0" borderId="182"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6" borderId="183" xfId="0" applyFont="1" applyFill="1" applyBorder="1" applyAlignment="1" applyProtection="1">
      <alignment horizontal="center" vertical="center" wrapText="1" shrinkToFit="1"/>
      <protection locked="0"/>
    </xf>
    <xf numFmtId="0" fontId="7" fillId="6" borderId="184" xfId="0" applyFont="1" applyFill="1" applyBorder="1" applyAlignment="1" applyProtection="1">
      <alignment horizontal="center" vertical="center" wrapText="1" shrinkToFit="1"/>
      <protection locked="0"/>
    </xf>
    <xf numFmtId="0" fontId="7" fillId="6" borderId="173" xfId="0" applyFont="1" applyFill="1" applyBorder="1" applyAlignment="1" applyProtection="1">
      <alignment horizontal="center" vertical="center" wrapText="1" shrinkToFit="1"/>
      <protection locked="0"/>
    </xf>
    <xf numFmtId="0" fontId="7" fillId="6" borderId="71" xfId="0" applyFont="1" applyFill="1" applyBorder="1" applyAlignment="1" applyProtection="1">
      <alignment horizontal="center" vertical="center" wrapText="1" shrinkToFit="1"/>
      <protection locked="0"/>
    </xf>
    <xf numFmtId="0" fontId="7" fillId="6" borderId="18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center"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92" xfId="0" applyFont="1" applyBorder="1" applyAlignment="1" applyProtection="1">
      <alignment horizontal="left" vertical="center" shrinkToFit="1"/>
      <protection/>
    </xf>
    <xf numFmtId="0" fontId="7" fillId="0" borderId="187" xfId="0" applyFont="1" applyBorder="1" applyAlignment="1" applyProtection="1">
      <alignment horizontal="left" vertical="center"/>
      <protection/>
    </xf>
    <xf numFmtId="0" fontId="7" fillId="0" borderId="193"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4"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5" xfId="0" applyFont="1" applyBorder="1" applyAlignment="1" applyProtection="1">
      <alignment horizontal="center" vertical="center" wrapText="1" shrinkToFit="1"/>
      <protection/>
    </xf>
    <xf numFmtId="0" fontId="0" fillId="0" borderId="18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8"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96"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00" xfId="0" applyFont="1" applyBorder="1" applyAlignment="1" applyProtection="1">
      <alignment horizontal="center" vertical="center"/>
      <protection/>
    </xf>
    <xf numFmtId="0" fontId="7" fillId="0" borderId="201" xfId="0" applyFont="1" applyBorder="1" applyAlignment="1" applyProtection="1">
      <alignment horizontal="center" vertical="center"/>
      <protection/>
    </xf>
    <xf numFmtId="0" fontId="7" fillId="0" borderId="198" xfId="0" applyFont="1" applyBorder="1" applyAlignment="1" applyProtection="1">
      <alignment horizontal="left" vertical="center" shrinkToFit="1"/>
      <protection/>
    </xf>
    <xf numFmtId="0" fontId="7" fillId="0" borderId="202"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8"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8"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5"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5"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8" xfId="57" applyFont="1" applyFill="1" applyBorder="1" applyAlignment="1" applyProtection="1">
      <alignment horizontal="center" vertical="center"/>
      <protection/>
    </xf>
    <xf numFmtId="0" fontId="3" fillId="0" borderId="206"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6" fontId="7" fillId="0" borderId="139"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4"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shrinkToFit="1"/>
      <protection/>
    </xf>
    <xf numFmtId="0" fontId="7" fillId="0" borderId="182"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wrapText="1"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3"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5"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8" xfId="0" applyBorder="1" applyAlignment="1">
      <alignment vertical="center"/>
    </xf>
    <xf numFmtId="0" fontId="0" fillId="0" borderId="178"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5"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4"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1" xfId="0" applyFont="1" applyBorder="1" applyAlignment="1" applyProtection="1">
      <alignment horizontal="center" vertical="center" wrapText="1" shrinkToFit="1"/>
      <protection/>
    </xf>
    <xf numFmtId="0" fontId="7" fillId="6" borderId="217"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8"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00FF"/>
        </patternFill>
      </fill>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9" t="s">
        <v>301</v>
      </c>
      <c r="I1" s="509"/>
      <c r="J1" s="509"/>
      <c r="K1" s="509"/>
    </row>
    <row r="2" spans="2:11" s="1" customFormat="1" ht="18" customHeight="1">
      <c r="B2" s="147"/>
      <c r="H2" s="509" t="s">
        <v>302</v>
      </c>
      <c r="I2" s="509"/>
      <c r="J2" s="509"/>
      <c r="K2" s="509"/>
    </row>
    <row r="3" spans="2:11" s="1" customFormat="1" ht="18" customHeight="1">
      <c r="B3" s="147"/>
      <c r="K3" s="2"/>
    </row>
    <row r="4" spans="2:11" s="1" customFormat="1" ht="18" customHeight="1">
      <c r="B4" s="147"/>
      <c r="H4" s="510" t="s">
        <v>344</v>
      </c>
      <c r="I4" s="510"/>
      <c r="J4" s="510"/>
      <c r="K4" s="510"/>
    </row>
    <row r="5" spans="2:11" s="1" customFormat="1" ht="18" customHeight="1">
      <c r="B5" s="147"/>
      <c r="H5" s="511">
        <v>43269</v>
      </c>
      <c r="I5" s="510"/>
      <c r="J5" s="510"/>
      <c r="K5" s="510"/>
    </row>
    <row r="6" spans="1:11" s="1" customFormat="1" ht="18" customHeight="1">
      <c r="A6" s="3" t="s">
        <v>2</v>
      </c>
      <c r="B6" s="147"/>
      <c r="H6" s="4"/>
      <c r="K6" s="11"/>
    </row>
    <row r="7" spans="1:11" s="1" customFormat="1" ht="18" customHeight="1">
      <c r="A7" s="4"/>
      <c r="B7" s="147"/>
      <c r="H7" s="510" t="s">
        <v>323</v>
      </c>
      <c r="I7" s="510"/>
      <c r="J7" s="510"/>
      <c r="K7" s="510"/>
    </row>
    <row r="8" spans="1:11" s="1" customFormat="1" ht="18" customHeight="1">
      <c r="A8" s="4"/>
      <c r="B8" s="147"/>
      <c r="H8" s="510" t="s">
        <v>300</v>
      </c>
      <c r="I8" s="510"/>
      <c r="J8" s="510"/>
      <c r="K8" s="510"/>
    </row>
    <row r="9" spans="1:11" s="1" customFormat="1" ht="42" customHeight="1">
      <c r="A9" s="4"/>
      <c r="B9" s="147"/>
      <c r="H9" s="2"/>
      <c r="K9" s="46"/>
    </row>
    <row r="10" spans="1:11" s="5" customFormat="1" ht="24" customHeight="1">
      <c r="A10" s="499" t="s">
        <v>262</v>
      </c>
      <c r="B10" s="499"/>
      <c r="C10" s="499"/>
      <c r="D10" s="499"/>
      <c r="E10" s="499"/>
      <c r="F10" s="499"/>
      <c r="G10" s="499"/>
      <c r="H10" s="499"/>
      <c r="I10" s="499"/>
      <c r="J10" s="499"/>
      <c r="K10" s="499"/>
    </row>
    <row r="11" spans="1:11" s="5" customFormat="1" ht="24" customHeight="1">
      <c r="A11" s="500"/>
      <c r="B11" s="500"/>
      <c r="C11" s="500"/>
      <c r="D11" s="500"/>
      <c r="E11" s="500"/>
      <c r="F11" s="500"/>
      <c r="G11" s="500"/>
      <c r="H11" s="500"/>
      <c r="I11" s="500"/>
      <c r="J11" s="500"/>
      <c r="K11" s="500"/>
    </row>
    <row r="12" spans="1:11" s="5" customFormat="1" ht="24" customHeight="1">
      <c r="A12" s="14" t="s">
        <v>345</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01" t="s">
        <v>223</v>
      </c>
      <c r="B14" s="502"/>
      <c r="C14" s="503"/>
      <c r="D14" s="504">
        <f>'1-1'!D14:F14</f>
        <v>1190000</v>
      </c>
      <c r="E14" s="505"/>
      <c r="F14" s="506"/>
      <c r="G14" s="512" t="s">
        <v>1</v>
      </c>
      <c r="H14" s="513"/>
      <c r="I14" s="514">
        <v>43266</v>
      </c>
      <c r="J14" s="515"/>
      <c r="K14" s="516"/>
    </row>
    <row r="15" spans="1:11" s="5" customFormat="1" ht="39" customHeight="1" thickBot="1">
      <c r="A15" s="19"/>
      <c r="B15" s="18" t="s">
        <v>8</v>
      </c>
      <c r="C15" s="17" t="s">
        <v>9</v>
      </c>
      <c r="D15" s="16" t="s">
        <v>124</v>
      </c>
      <c r="E15" s="16" t="s">
        <v>123</v>
      </c>
      <c r="F15" s="17" t="s">
        <v>10</v>
      </c>
      <c r="G15" s="17" t="s">
        <v>11</v>
      </c>
      <c r="H15" s="449" t="s">
        <v>248</v>
      </c>
      <c r="I15" s="16" t="s">
        <v>12</v>
      </c>
      <c r="J15" s="448" t="s">
        <v>252</v>
      </c>
      <c r="K15" s="23" t="s">
        <v>15</v>
      </c>
    </row>
    <row r="16" spans="1:11" s="5" customFormat="1" ht="58.5" customHeight="1" thickBot="1" thickTop="1">
      <c r="A16" s="22" t="s">
        <v>119</v>
      </c>
      <c r="B16" s="220">
        <f>'3-2'!K44</f>
        <v>560000</v>
      </c>
      <c r="C16" s="221">
        <f>'3-2'!K45</f>
        <v>442000</v>
      </c>
      <c r="D16" s="221">
        <f>'3-2'!K46</f>
        <v>70210</v>
      </c>
      <c r="E16" s="221">
        <f>'3-2'!K47</f>
        <v>0</v>
      </c>
      <c r="F16" s="221">
        <f>'3-2'!K48</f>
        <v>17000</v>
      </c>
      <c r="G16" s="221">
        <f>'3-2'!K49</f>
        <v>48860</v>
      </c>
      <c r="H16" s="221">
        <f>'3-2'!K50</f>
        <v>0</v>
      </c>
      <c r="I16" s="221">
        <f>'3-2'!K51</f>
        <v>0</v>
      </c>
      <c r="J16" s="222">
        <f>'3-2'!K52</f>
        <v>51930</v>
      </c>
      <c r="K16" s="223">
        <f>SUM(B16:J16)</f>
        <v>1190000</v>
      </c>
    </row>
    <row r="17" spans="6:7" ht="24" customHeight="1" thickBot="1">
      <c r="F17" s="12"/>
      <c r="G17" s="12"/>
    </row>
    <row r="18" spans="1:11" ht="24" customHeight="1" thickBot="1">
      <c r="A18" s="145" t="s">
        <v>141</v>
      </c>
      <c r="B18" s="517" t="s">
        <v>142</v>
      </c>
      <c r="C18" s="518"/>
      <c r="D18" s="519" t="s">
        <v>224</v>
      </c>
      <c r="E18" s="520"/>
      <c r="F18" s="521" t="s">
        <v>219</v>
      </c>
      <c r="G18" s="521"/>
      <c r="H18" s="521"/>
      <c r="I18" s="521"/>
      <c r="J18" s="520"/>
      <c r="K18" s="146" t="s">
        <v>140</v>
      </c>
    </row>
    <row r="19" spans="1:11" ht="54.75" customHeight="1">
      <c r="A19" s="150">
        <v>1</v>
      </c>
      <c r="B19" s="522" t="s">
        <v>333</v>
      </c>
      <c r="C19" s="523"/>
      <c r="D19" s="526" t="s">
        <v>272</v>
      </c>
      <c r="E19" s="526"/>
      <c r="F19" s="526" t="s">
        <v>342</v>
      </c>
      <c r="G19" s="526"/>
      <c r="H19" s="526"/>
      <c r="I19" s="526"/>
      <c r="J19" s="526"/>
      <c r="K19" s="474" t="s">
        <v>299</v>
      </c>
    </row>
    <row r="20" spans="1:11" ht="63" customHeight="1">
      <c r="A20" s="151">
        <v>1</v>
      </c>
      <c r="B20" s="524" t="s">
        <v>334</v>
      </c>
      <c r="C20" s="525"/>
      <c r="D20" s="508" t="s">
        <v>272</v>
      </c>
      <c r="E20" s="494"/>
      <c r="F20" s="493" t="s">
        <v>343</v>
      </c>
      <c r="G20" s="493"/>
      <c r="H20" s="493"/>
      <c r="I20" s="493"/>
      <c r="J20" s="494"/>
      <c r="K20" s="474" t="s">
        <v>299</v>
      </c>
    </row>
    <row r="21" spans="1:11" ht="54.75" customHeight="1">
      <c r="A21" s="151">
        <v>2</v>
      </c>
      <c r="B21" s="524" t="s">
        <v>335</v>
      </c>
      <c r="C21" s="525"/>
      <c r="D21" s="524" t="s">
        <v>276</v>
      </c>
      <c r="E21" s="527"/>
      <c r="F21" s="492" t="s">
        <v>339</v>
      </c>
      <c r="G21" s="492"/>
      <c r="H21" s="492"/>
      <c r="I21" s="492"/>
      <c r="J21" s="491"/>
      <c r="K21" s="474" t="s">
        <v>299</v>
      </c>
    </row>
    <row r="22" spans="1:11" ht="63" customHeight="1">
      <c r="A22" s="151">
        <v>3</v>
      </c>
      <c r="B22" s="524" t="s">
        <v>336</v>
      </c>
      <c r="C22" s="525"/>
      <c r="D22" s="490" t="s">
        <v>337</v>
      </c>
      <c r="E22" s="491"/>
      <c r="F22" s="492" t="s">
        <v>341</v>
      </c>
      <c r="G22" s="492"/>
      <c r="H22" s="492"/>
      <c r="I22" s="492"/>
      <c r="J22" s="491"/>
      <c r="K22" s="474" t="s">
        <v>299</v>
      </c>
    </row>
    <row r="23" spans="1:11" ht="54.75" customHeight="1">
      <c r="A23" s="151">
        <v>4</v>
      </c>
      <c r="B23" s="524" t="s">
        <v>338</v>
      </c>
      <c r="C23" s="525"/>
      <c r="D23" s="490" t="s">
        <v>288</v>
      </c>
      <c r="E23" s="491"/>
      <c r="F23" s="492" t="s">
        <v>340</v>
      </c>
      <c r="G23" s="492"/>
      <c r="H23" s="492"/>
      <c r="I23" s="492"/>
      <c r="J23" s="491"/>
      <c r="K23" s="474" t="s">
        <v>299</v>
      </c>
    </row>
    <row r="24" spans="1:11" ht="48" customHeight="1">
      <c r="A24" s="151"/>
      <c r="B24" s="495"/>
      <c r="C24" s="528"/>
      <c r="D24" s="490"/>
      <c r="E24" s="491"/>
      <c r="F24" s="492"/>
      <c r="G24" s="492"/>
      <c r="H24" s="492"/>
      <c r="I24" s="492"/>
      <c r="J24" s="491"/>
      <c r="K24" s="474"/>
    </row>
    <row r="25" spans="1:11" ht="48" customHeight="1">
      <c r="A25" s="151"/>
      <c r="B25" s="495"/>
      <c r="C25" s="496"/>
      <c r="D25" s="490"/>
      <c r="E25" s="491"/>
      <c r="F25" s="492"/>
      <c r="G25" s="492"/>
      <c r="H25" s="492"/>
      <c r="I25" s="492"/>
      <c r="J25" s="491"/>
      <c r="K25" s="474"/>
    </row>
    <row r="26" spans="1:11" ht="48" customHeight="1">
      <c r="A26" s="151"/>
      <c r="B26" s="495"/>
      <c r="C26" s="496"/>
      <c r="D26" s="490"/>
      <c r="E26" s="491"/>
      <c r="F26" s="492"/>
      <c r="G26" s="492"/>
      <c r="H26" s="492"/>
      <c r="I26" s="492"/>
      <c r="J26" s="491"/>
      <c r="K26" s="474"/>
    </row>
    <row r="27" spans="1:11" ht="48" customHeight="1">
      <c r="A27" s="151"/>
      <c r="B27" s="495"/>
      <c r="C27" s="528"/>
      <c r="D27" s="490"/>
      <c r="E27" s="491"/>
      <c r="F27" s="492"/>
      <c r="G27" s="492"/>
      <c r="H27" s="492"/>
      <c r="I27" s="492"/>
      <c r="J27" s="491"/>
      <c r="K27" s="474"/>
    </row>
    <row r="28" spans="1:11" ht="48" customHeight="1" thickBot="1">
      <c r="A28" s="152"/>
      <c r="B28" s="531"/>
      <c r="C28" s="532"/>
      <c r="D28" s="507"/>
      <c r="E28" s="498"/>
      <c r="F28" s="497"/>
      <c r="G28" s="497"/>
      <c r="H28" s="497"/>
      <c r="I28" s="497"/>
      <c r="J28" s="498"/>
      <c r="K28" s="489"/>
    </row>
    <row r="29" spans="1:11" ht="48" customHeight="1">
      <c r="A29" s="488"/>
      <c r="B29" s="529"/>
      <c r="C29" s="530"/>
      <c r="D29" s="508"/>
      <c r="E29" s="494"/>
      <c r="F29" s="493"/>
      <c r="G29" s="493"/>
      <c r="H29" s="493"/>
      <c r="I29" s="493"/>
      <c r="J29" s="494"/>
      <c r="K29" s="474"/>
    </row>
    <row r="30" spans="1:11" ht="48" customHeight="1">
      <c r="A30" s="158"/>
      <c r="B30" s="495"/>
      <c r="C30" s="496"/>
      <c r="D30" s="490"/>
      <c r="E30" s="491"/>
      <c r="F30" s="492"/>
      <c r="G30" s="492"/>
      <c r="H30" s="492"/>
      <c r="I30" s="492"/>
      <c r="J30" s="491"/>
      <c r="K30" s="474"/>
    </row>
    <row r="31" spans="1:11" ht="48" customHeight="1">
      <c r="A31" s="158"/>
      <c r="B31" s="495"/>
      <c r="C31" s="496"/>
      <c r="D31" s="490"/>
      <c r="E31" s="491"/>
      <c r="F31" s="492"/>
      <c r="G31" s="492"/>
      <c r="H31" s="492"/>
      <c r="I31" s="492"/>
      <c r="J31" s="491"/>
      <c r="K31" s="474"/>
    </row>
    <row r="32" spans="1:11" ht="48" customHeight="1">
      <c r="A32" s="158"/>
      <c r="B32" s="495"/>
      <c r="C32" s="496"/>
      <c r="D32" s="490"/>
      <c r="E32" s="491"/>
      <c r="F32" s="492"/>
      <c r="G32" s="492"/>
      <c r="H32" s="492"/>
      <c r="I32" s="492"/>
      <c r="J32" s="491"/>
      <c r="K32" s="474"/>
    </row>
    <row r="33" spans="1:11" ht="48" customHeight="1">
      <c r="A33" s="158"/>
      <c r="B33" s="495"/>
      <c r="C33" s="496"/>
      <c r="D33" s="490"/>
      <c r="E33" s="491"/>
      <c r="F33" s="492"/>
      <c r="G33" s="492"/>
      <c r="H33" s="492"/>
      <c r="I33" s="492"/>
      <c r="J33" s="491"/>
      <c r="K33" s="474"/>
    </row>
    <row r="34" spans="1:11" ht="48" customHeight="1">
      <c r="A34" s="158"/>
      <c r="B34" s="495"/>
      <c r="C34" s="496"/>
      <c r="D34" s="490"/>
      <c r="E34" s="491"/>
      <c r="F34" s="492"/>
      <c r="G34" s="492"/>
      <c r="H34" s="492"/>
      <c r="I34" s="492"/>
      <c r="J34" s="491"/>
      <c r="K34" s="474"/>
    </row>
    <row r="35" spans="1:11" ht="48" customHeight="1" thickBot="1">
      <c r="A35" s="152"/>
      <c r="B35" s="531"/>
      <c r="C35" s="532"/>
      <c r="D35" s="507"/>
      <c r="E35" s="498"/>
      <c r="F35" s="497"/>
      <c r="G35" s="497"/>
      <c r="H35" s="497"/>
      <c r="I35" s="497"/>
      <c r="J35" s="498"/>
      <c r="K35" s="474"/>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F21:J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D35:E35"/>
    <mergeCell ref="F35:J35"/>
    <mergeCell ref="F34:J34"/>
    <mergeCell ref="F33:J33"/>
    <mergeCell ref="D29:E29"/>
    <mergeCell ref="F22:J22"/>
    <mergeCell ref="F23:J23"/>
    <mergeCell ref="F32:J32"/>
    <mergeCell ref="F31:J31"/>
    <mergeCell ref="D34:E34"/>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9"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E22" sqref="E2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3" t="s">
        <v>141</v>
      </c>
      <c r="B3" s="300" t="s">
        <v>142</v>
      </c>
      <c r="C3" s="59" t="s">
        <v>144</v>
      </c>
      <c r="D3" s="96" t="s">
        <v>146</v>
      </c>
      <c r="E3" s="96" t="s">
        <v>0</v>
      </c>
      <c r="F3" s="96" t="s">
        <v>197</v>
      </c>
      <c r="G3" s="96" t="s">
        <v>91</v>
      </c>
      <c r="H3" s="475" t="s">
        <v>245</v>
      </c>
      <c r="I3" s="96" t="s">
        <v>92</v>
      </c>
      <c r="J3" s="96" t="s">
        <v>93</v>
      </c>
      <c r="K3" s="228" t="s">
        <v>111</v>
      </c>
      <c r="L3" s="296" t="s">
        <v>94</v>
      </c>
      <c r="M3" s="29" t="s">
        <v>99</v>
      </c>
    </row>
    <row r="4" spans="1:13" ht="13.5" customHeight="1">
      <c r="A4" s="361"/>
      <c r="B4" s="362"/>
      <c r="C4" s="243"/>
      <c r="D4" s="244">
        <v>301</v>
      </c>
      <c r="E4" s="245" t="s">
        <v>138</v>
      </c>
      <c r="F4" s="246" t="s">
        <v>225</v>
      </c>
      <c r="G4" s="247">
        <v>12100</v>
      </c>
      <c r="H4" s="248">
        <v>1</v>
      </c>
      <c r="I4" s="248">
        <v>1</v>
      </c>
      <c r="J4" s="249">
        <f>G4*H4*I4</f>
        <v>12100</v>
      </c>
      <c r="K4" s="250"/>
      <c r="L4" s="251" t="s">
        <v>226</v>
      </c>
      <c r="M4" s="29">
        <f aca="true" t="shared" si="0" ref="M4:M67">IF(K4="◎",J4,"")</f>
      </c>
    </row>
    <row r="5" spans="1:13" ht="14.25">
      <c r="A5" s="252">
        <v>1</v>
      </c>
      <c r="B5" s="253" t="s">
        <v>308</v>
      </c>
      <c r="C5" s="484" t="s">
        <v>272</v>
      </c>
      <c r="D5" s="255">
        <v>302</v>
      </c>
      <c r="E5" s="256" t="s">
        <v>88</v>
      </c>
      <c r="F5" s="319" t="s">
        <v>307</v>
      </c>
      <c r="G5" s="258">
        <v>48860</v>
      </c>
      <c r="H5" s="259">
        <v>1</v>
      </c>
      <c r="I5" s="259">
        <v>1</v>
      </c>
      <c r="J5" s="260">
        <f>G5*H5*I5</f>
        <v>48860</v>
      </c>
      <c r="K5" s="261"/>
      <c r="L5" s="262" t="s">
        <v>309</v>
      </c>
      <c r="M5" s="29">
        <f t="shared" si="0"/>
      </c>
    </row>
    <row r="6" spans="1:13" ht="14.25">
      <c r="A6" s="252">
        <v>1</v>
      </c>
      <c r="B6" s="253" t="s">
        <v>306</v>
      </c>
      <c r="C6" s="254"/>
      <c r="D6" s="255">
        <v>303</v>
      </c>
      <c r="E6" s="256" t="s">
        <v>86</v>
      </c>
      <c r="F6" s="257" t="s">
        <v>274</v>
      </c>
      <c r="G6" s="258">
        <v>50000</v>
      </c>
      <c r="H6" s="259">
        <v>1</v>
      </c>
      <c r="I6" s="259">
        <v>2</v>
      </c>
      <c r="J6" s="260">
        <f aca="true" t="shared" si="1" ref="J6:J69">G6*H6*I6</f>
        <v>100000</v>
      </c>
      <c r="K6" s="261"/>
      <c r="L6" s="262" t="s">
        <v>325</v>
      </c>
      <c r="M6" s="29">
        <f t="shared" si="0"/>
      </c>
    </row>
    <row r="7" spans="1:13" ht="14.25">
      <c r="A7" s="252">
        <v>2</v>
      </c>
      <c r="B7" s="253" t="s">
        <v>320</v>
      </c>
      <c r="C7" s="487" t="s">
        <v>276</v>
      </c>
      <c r="D7" s="255">
        <v>304</v>
      </c>
      <c r="E7" s="256" t="s">
        <v>86</v>
      </c>
      <c r="F7" s="257" t="s">
        <v>277</v>
      </c>
      <c r="G7" s="258">
        <v>420</v>
      </c>
      <c r="H7" s="259">
        <v>77</v>
      </c>
      <c r="I7" s="259">
        <v>1</v>
      </c>
      <c r="J7" s="260">
        <f t="shared" si="1"/>
        <v>32340</v>
      </c>
      <c r="K7" s="261"/>
      <c r="L7" s="262" t="s">
        <v>310</v>
      </c>
      <c r="M7" s="29">
        <f t="shared" si="0"/>
      </c>
    </row>
    <row r="8" spans="1:13" ht="14.25">
      <c r="A8" s="252"/>
      <c r="B8" s="253"/>
      <c r="C8" s="254"/>
      <c r="D8" s="255">
        <v>305</v>
      </c>
      <c r="E8" s="256" t="s">
        <v>87</v>
      </c>
      <c r="F8" s="257" t="s">
        <v>278</v>
      </c>
      <c r="G8" s="258">
        <v>3880</v>
      </c>
      <c r="H8" s="259">
        <v>1</v>
      </c>
      <c r="I8" s="259">
        <v>1</v>
      </c>
      <c r="J8" s="260">
        <f t="shared" si="1"/>
        <v>3880</v>
      </c>
      <c r="K8" s="261"/>
      <c r="L8" s="262" t="s">
        <v>311</v>
      </c>
      <c r="M8" s="29">
        <f t="shared" si="0"/>
      </c>
    </row>
    <row r="9" spans="1:13" ht="14.25">
      <c r="A9" s="252">
        <v>3</v>
      </c>
      <c r="B9" s="253" t="s">
        <v>319</v>
      </c>
      <c r="C9" s="484" t="s">
        <v>312</v>
      </c>
      <c r="D9" s="255">
        <v>306</v>
      </c>
      <c r="E9" s="256" t="s">
        <v>85</v>
      </c>
      <c r="F9" s="257" t="s">
        <v>280</v>
      </c>
      <c r="G9" s="258">
        <v>5000</v>
      </c>
      <c r="H9" s="259">
        <v>1</v>
      </c>
      <c r="I9" s="259">
        <v>4</v>
      </c>
      <c r="J9" s="260">
        <f t="shared" si="1"/>
        <v>20000</v>
      </c>
      <c r="K9" s="261"/>
      <c r="L9" s="262" t="s">
        <v>313</v>
      </c>
      <c r="M9" s="29">
        <f t="shared" si="0"/>
      </c>
    </row>
    <row r="10" spans="1:13" ht="14.25">
      <c r="A10" s="252"/>
      <c r="B10" s="253"/>
      <c r="C10" s="254"/>
      <c r="D10" s="255">
        <v>307</v>
      </c>
      <c r="E10" s="257" t="s">
        <v>85</v>
      </c>
      <c r="F10" s="257" t="s">
        <v>279</v>
      </c>
      <c r="G10" s="258">
        <v>5000</v>
      </c>
      <c r="H10" s="259">
        <v>1</v>
      </c>
      <c r="I10" s="259">
        <v>8</v>
      </c>
      <c r="J10" s="260">
        <f t="shared" si="1"/>
        <v>40000</v>
      </c>
      <c r="K10" s="261"/>
      <c r="L10" s="262" t="s">
        <v>314</v>
      </c>
      <c r="M10" s="29">
        <f t="shared" si="0"/>
      </c>
    </row>
    <row r="11" spans="1:13" ht="13.5" customHeight="1">
      <c r="A11" s="252"/>
      <c r="B11" s="253"/>
      <c r="C11" s="254"/>
      <c r="D11" s="255">
        <v>308</v>
      </c>
      <c r="E11" s="265" t="s">
        <v>85</v>
      </c>
      <c r="F11" s="265" t="s">
        <v>282</v>
      </c>
      <c r="G11" s="266">
        <v>2000</v>
      </c>
      <c r="H11" s="267">
        <v>1</v>
      </c>
      <c r="I11" s="267">
        <v>156</v>
      </c>
      <c r="J11" s="260">
        <f t="shared" si="1"/>
        <v>312000</v>
      </c>
      <c r="K11" s="268"/>
      <c r="L11" s="262" t="s">
        <v>315</v>
      </c>
      <c r="M11" s="29">
        <f t="shared" si="0"/>
      </c>
    </row>
    <row r="12" spans="1:13" ht="14.25">
      <c r="A12" s="252"/>
      <c r="B12" s="253"/>
      <c r="C12" s="254"/>
      <c r="D12" s="255">
        <v>309</v>
      </c>
      <c r="E12" s="256" t="s">
        <v>125</v>
      </c>
      <c r="F12" s="256" t="s">
        <v>284</v>
      </c>
      <c r="G12" s="270">
        <v>10000</v>
      </c>
      <c r="H12" s="271">
        <v>1</v>
      </c>
      <c r="I12" s="271">
        <v>1</v>
      </c>
      <c r="J12" s="260">
        <f t="shared" si="1"/>
        <v>10000</v>
      </c>
      <c r="K12" s="272"/>
      <c r="L12" s="262" t="s">
        <v>316</v>
      </c>
      <c r="M12" s="29">
        <f t="shared" si="0"/>
      </c>
    </row>
    <row r="13" spans="1:13" ht="14.25">
      <c r="A13" s="252">
        <v>4</v>
      </c>
      <c r="B13" s="253" t="s">
        <v>321</v>
      </c>
      <c r="C13" s="484" t="s">
        <v>288</v>
      </c>
      <c r="D13" s="255">
        <v>310</v>
      </c>
      <c r="E13" s="256" t="s">
        <v>86</v>
      </c>
      <c r="F13" s="256" t="s">
        <v>317</v>
      </c>
      <c r="G13" s="270">
        <v>50000</v>
      </c>
      <c r="H13" s="271">
        <v>1</v>
      </c>
      <c r="I13" s="271">
        <v>2</v>
      </c>
      <c r="J13" s="260">
        <f t="shared" si="1"/>
        <v>100000</v>
      </c>
      <c r="K13" s="261"/>
      <c r="L13" s="262"/>
      <c r="M13" s="29">
        <f t="shared" si="0"/>
      </c>
    </row>
    <row r="14" spans="1:13" ht="13.5" customHeight="1">
      <c r="A14" s="252"/>
      <c r="B14" s="253"/>
      <c r="C14" s="254"/>
      <c r="D14" s="255">
        <v>311</v>
      </c>
      <c r="E14" s="257" t="s">
        <v>86</v>
      </c>
      <c r="F14" s="256" t="s">
        <v>322</v>
      </c>
      <c r="G14" s="258">
        <v>50000</v>
      </c>
      <c r="H14" s="259">
        <v>1</v>
      </c>
      <c r="I14" s="259">
        <v>2</v>
      </c>
      <c r="J14" s="260">
        <f t="shared" si="1"/>
        <v>100000</v>
      </c>
      <c r="K14" s="275"/>
      <c r="L14" s="262"/>
      <c r="M14" s="29">
        <f t="shared" si="0"/>
      </c>
    </row>
    <row r="15" spans="1:13" ht="13.5">
      <c r="A15" s="252"/>
      <c r="B15" s="253"/>
      <c r="C15" s="254"/>
      <c r="D15" s="255">
        <v>312</v>
      </c>
      <c r="E15" s="276" t="s">
        <v>86</v>
      </c>
      <c r="F15" s="257" t="s">
        <v>290</v>
      </c>
      <c r="G15" s="277">
        <v>400</v>
      </c>
      <c r="H15" s="278">
        <v>50</v>
      </c>
      <c r="I15" s="278">
        <v>2</v>
      </c>
      <c r="J15" s="260">
        <f t="shared" si="1"/>
        <v>40000</v>
      </c>
      <c r="K15" s="279"/>
      <c r="L15" s="262" t="s">
        <v>326</v>
      </c>
      <c r="M15" s="29">
        <f t="shared" si="0"/>
      </c>
    </row>
    <row r="16" spans="1:13" ht="13.5">
      <c r="A16" s="252"/>
      <c r="B16" s="253"/>
      <c r="C16" s="254"/>
      <c r="D16" s="255">
        <v>313</v>
      </c>
      <c r="E16" s="257" t="s">
        <v>125</v>
      </c>
      <c r="F16" s="276" t="s">
        <v>292</v>
      </c>
      <c r="G16" s="258">
        <v>17000</v>
      </c>
      <c r="H16" s="259">
        <v>1</v>
      </c>
      <c r="I16" s="259">
        <v>1</v>
      </c>
      <c r="J16" s="260">
        <f t="shared" si="1"/>
        <v>17000</v>
      </c>
      <c r="K16" s="261"/>
      <c r="L16" s="262" t="s">
        <v>328</v>
      </c>
      <c r="M16" s="29">
        <f t="shared" si="0"/>
      </c>
    </row>
    <row r="17" spans="1:13" ht="13.5">
      <c r="A17" s="252"/>
      <c r="B17" s="253"/>
      <c r="C17" s="254"/>
      <c r="D17" s="255">
        <v>314</v>
      </c>
      <c r="E17" s="257" t="s">
        <v>125</v>
      </c>
      <c r="F17" s="257" t="s">
        <v>318</v>
      </c>
      <c r="G17" s="258">
        <v>20210</v>
      </c>
      <c r="H17" s="259">
        <v>1</v>
      </c>
      <c r="I17" s="259">
        <v>1</v>
      </c>
      <c r="J17" s="260">
        <f t="shared" si="1"/>
        <v>20210</v>
      </c>
      <c r="K17" s="261"/>
      <c r="L17" s="262" t="s">
        <v>329</v>
      </c>
      <c r="M17" s="29">
        <f t="shared" si="0"/>
      </c>
    </row>
    <row r="18" spans="1:13" ht="13.5">
      <c r="A18" s="252"/>
      <c r="B18" s="253"/>
      <c r="C18" s="254"/>
      <c r="D18" s="255">
        <v>315</v>
      </c>
      <c r="E18" s="257" t="s">
        <v>125</v>
      </c>
      <c r="F18" s="257" t="s">
        <v>294</v>
      </c>
      <c r="G18" s="258">
        <v>20000</v>
      </c>
      <c r="H18" s="259">
        <v>1</v>
      </c>
      <c r="I18" s="259">
        <v>1</v>
      </c>
      <c r="J18" s="260">
        <f t="shared" si="1"/>
        <v>20000</v>
      </c>
      <c r="K18" s="261"/>
      <c r="L18" s="262" t="s">
        <v>330</v>
      </c>
      <c r="M18" s="29">
        <f t="shared" si="0"/>
      </c>
    </row>
    <row r="19" spans="1:13" ht="13.5">
      <c r="A19" s="252"/>
      <c r="B19" s="253"/>
      <c r="C19" s="254"/>
      <c r="D19" s="255">
        <v>316</v>
      </c>
      <c r="E19" s="257" t="s">
        <v>87</v>
      </c>
      <c r="F19" s="257" t="s">
        <v>295</v>
      </c>
      <c r="G19" s="258">
        <v>82</v>
      </c>
      <c r="H19" s="259">
        <v>80</v>
      </c>
      <c r="I19" s="259">
        <v>1</v>
      </c>
      <c r="J19" s="260">
        <f t="shared" si="1"/>
        <v>6560</v>
      </c>
      <c r="K19" s="261"/>
      <c r="L19" s="262" t="s">
        <v>331</v>
      </c>
      <c r="M19" s="29">
        <f t="shared" si="0"/>
      </c>
    </row>
    <row r="20" spans="1:13" ht="13.5">
      <c r="A20" s="252"/>
      <c r="B20" s="253"/>
      <c r="C20" s="254"/>
      <c r="D20" s="255">
        <v>317</v>
      </c>
      <c r="E20" s="257" t="s">
        <v>87</v>
      </c>
      <c r="F20" s="257" t="s">
        <v>296</v>
      </c>
      <c r="G20" s="258">
        <v>82</v>
      </c>
      <c r="H20" s="259">
        <v>80</v>
      </c>
      <c r="I20" s="259">
        <v>1</v>
      </c>
      <c r="J20" s="260">
        <f t="shared" si="1"/>
        <v>6560</v>
      </c>
      <c r="K20" s="261"/>
      <c r="L20" s="262" t="s">
        <v>332</v>
      </c>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30" t="s">
        <v>97</v>
      </c>
      <c r="H106" s="586" t="s">
        <v>176</v>
      </c>
      <c r="I106" s="586"/>
      <c r="J106" s="586" t="s">
        <v>98</v>
      </c>
      <c r="K106" s="587"/>
    </row>
    <row r="107" spans="4:11" ht="14.25" thickTop="1">
      <c r="D107" s="231"/>
      <c r="F107" s="297" t="s">
        <v>85</v>
      </c>
      <c r="G107" s="359">
        <f>SUMIF($E$4:$E$103,F107,$J$4:$J$103)</f>
        <v>372000</v>
      </c>
      <c r="H107" s="561">
        <f>SUMIF($E$4:$E$103,F107,$M$4:$M$103)</f>
        <v>0</v>
      </c>
      <c r="I107" s="561"/>
      <c r="J107" s="561">
        <f aca="true" t="shared" si="4" ref="J107:J115">G107-H107</f>
        <v>372000</v>
      </c>
      <c r="K107" s="625"/>
    </row>
    <row r="108" spans="4:11" ht="13.5">
      <c r="D108" s="231"/>
      <c r="F108" s="298" t="s">
        <v>86</v>
      </c>
      <c r="G108" s="358">
        <f aca="true" t="shared" si="5" ref="G108:G115">SUMIF($E$4:$E$103,F108,$J$4:$J$103)</f>
        <v>372340</v>
      </c>
      <c r="H108" s="539">
        <f aca="true" t="shared" si="6" ref="H108:H114">SUMIF($E$4:$E$103,F108,$M$4:$M$103)</f>
        <v>0</v>
      </c>
      <c r="I108" s="539"/>
      <c r="J108" s="539">
        <f t="shared" si="4"/>
        <v>372340</v>
      </c>
      <c r="K108" s="542"/>
    </row>
    <row r="109" spans="4:11" ht="13.5">
      <c r="D109" s="231"/>
      <c r="F109" s="298" t="s">
        <v>125</v>
      </c>
      <c r="G109" s="358">
        <f t="shared" si="5"/>
        <v>67210</v>
      </c>
      <c r="H109" s="539">
        <f t="shared" si="6"/>
        <v>0</v>
      </c>
      <c r="I109" s="539"/>
      <c r="J109" s="539">
        <f t="shared" si="4"/>
        <v>67210</v>
      </c>
      <c r="K109" s="542"/>
    </row>
    <row r="110" spans="4:11" ht="13.5">
      <c r="D110" s="231"/>
      <c r="F110" s="298" t="s">
        <v>126</v>
      </c>
      <c r="G110" s="358">
        <f t="shared" si="5"/>
        <v>0</v>
      </c>
      <c r="H110" s="539">
        <f t="shared" si="6"/>
        <v>0</v>
      </c>
      <c r="I110" s="539"/>
      <c r="J110" s="539">
        <f t="shared" si="4"/>
        <v>0</v>
      </c>
      <c r="K110" s="542"/>
    </row>
    <row r="111" spans="4:11" ht="13.5">
      <c r="D111" s="231"/>
      <c r="F111" s="298" t="s">
        <v>87</v>
      </c>
      <c r="G111" s="358">
        <f t="shared" si="5"/>
        <v>17000</v>
      </c>
      <c r="H111" s="539">
        <f t="shared" si="6"/>
        <v>0</v>
      </c>
      <c r="I111" s="539"/>
      <c r="J111" s="539">
        <f t="shared" si="4"/>
        <v>17000</v>
      </c>
      <c r="K111" s="542"/>
    </row>
    <row r="112" spans="4:11" ht="13.5">
      <c r="D112" s="231"/>
      <c r="F112" s="298" t="s">
        <v>88</v>
      </c>
      <c r="G112" s="358">
        <f t="shared" si="5"/>
        <v>48860</v>
      </c>
      <c r="H112" s="539">
        <f t="shared" si="6"/>
        <v>0</v>
      </c>
      <c r="I112" s="539"/>
      <c r="J112" s="539">
        <f t="shared" si="4"/>
        <v>48860</v>
      </c>
      <c r="K112" s="542"/>
    </row>
    <row r="113" spans="4:11" ht="13.5">
      <c r="D113" s="231"/>
      <c r="F113" s="298" t="s">
        <v>89</v>
      </c>
      <c r="G113" s="358">
        <f t="shared" si="5"/>
        <v>0</v>
      </c>
      <c r="H113" s="539">
        <f t="shared" si="6"/>
        <v>0</v>
      </c>
      <c r="I113" s="539"/>
      <c r="J113" s="539">
        <f t="shared" si="4"/>
        <v>0</v>
      </c>
      <c r="K113" s="542"/>
    </row>
    <row r="114" spans="4:11" ht="13.5">
      <c r="D114" s="231"/>
      <c r="F114" s="298" t="s">
        <v>90</v>
      </c>
      <c r="G114" s="358">
        <f t="shared" si="5"/>
        <v>0</v>
      </c>
      <c r="H114" s="539">
        <f t="shared" si="6"/>
        <v>0</v>
      </c>
      <c r="I114" s="539"/>
      <c r="J114" s="539">
        <f t="shared" si="4"/>
        <v>0</v>
      </c>
      <c r="K114" s="542"/>
    </row>
    <row r="115" spans="4:11" ht="14.25" thickBot="1">
      <c r="D115" s="231"/>
      <c r="F115" s="297" t="s">
        <v>138</v>
      </c>
      <c r="G115" s="358">
        <f t="shared" si="5"/>
        <v>12100</v>
      </c>
      <c r="H115" s="614">
        <f>SUMIF($E$4:$E$103,F115,$M$4:$M$103)+'2-3'!I122</f>
        <v>0</v>
      </c>
      <c r="I115" s="614"/>
      <c r="J115" s="614">
        <f t="shared" si="4"/>
        <v>12100</v>
      </c>
      <c r="K115" s="615"/>
    </row>
    <row r="116" spans="4:11" ht="15" thickBot="1" thickTop="1">
      <c r="D116" s="388"/>
      <c r="F116" s="299" t="s">
        <v>15</v>
      </c>
      <c r="G116" s="360">
        <f>SUM(G107:G115)</f>
        <v>889510</v>
      </c>
      <c r="H116" s="611">
        <f>SUM(H107:I115)</f>
        <v>0</v>
      </c>
      <c r="I116" s="611"/>
      <c r="J116" s="611">
        <f>SUM(J107:K115)</f>
        <v>889510</v>
      </c>
      <c r="K116" s="612"/>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5" dxfId="29" operator="equal" stopIfTrue="1">
      <formula>0</formula>
    </cfRule>
  </conditionalFormatting>
  <conditionalFormatting sqref="J104">
    <cfRule type="cellIs" priority="4" dxfId="29" operator="equal" stopIfTrue="1">
      <formula>0</formula>
    </cfRule>
  </conditionalFormatting>
  <conditionalFormatting sqref="F5">
    <cfRule type="cellIs" priority="1" dxfId="12" operator="notEqual" stopIfTrue="1">
      <formula>A5</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499" t="s">
        <v>265</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s="24" customFormat="1" ht="24" customHeight="1" thickBot="1">
      <c r="A13" s="626"/>
      <c r="B13" s="594"/>
      <c r="C13" s="594"/>
      <c r="D13" s="594"/>
      <c r="E13" s="594"/>
      <c r="F13" s="594"/>
      <c r="G13" s="594"/>
      <c r="H13" s="594"/>
      <c r="I13" s="594"/>
      <c r="J13" s="594"/>
      <c r="K13" s="594"/>
    </row>
    <row r="14" spans="1:11" ht="39" customHeight="1" thickBot="1">
      <c r="A14" s="19"/>
      <c r="B14" s="18" t="s">
        <v>8</v>
      </c>
      <c r="C14" s="17" t="s">
        <v>9</v>
      </c>
      <c r="D14" s="16" t="s">
        <v>124</v>
      </c>
      <c r="E14" s="16" t="s">
        <v>123</v>
      </c>
      <c r="F14" s="17" t="s">
        <v>10</v>
      </c>
      <c r="G14" s="17" t="s">
        <v>11</v>
      </c>
      <c r="H14" s="449" t="s">
        <v>248</v>
      </c>
      <c r="I14" s="16" t="s">
        <v>12</v>
      </c>
      <c r="J14" s="448" t="s">
        <v>252</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27" t="s">
        <v>136</v>
      </c>
      <c r="C18" s="628"/>
      <c r="D18" s="628"/>
      <c r="E18" s="628"/>
      <c r="F18" s="628"/>
      <c r="G18" s="628"/>
      <c r="H18" s="628"/>
      <c r="I18" s="628"/>
      <c r="J18" s="628"/>
      <c r="K18" s="62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0" t="s">
        <v>142</v>
      </c>
      <c r="C3" s="59" t="s">
        <v>144</v>
      </c>
      <c r="D3" s="389" t="s">
        <v>147</v>
      </c>
      <c r="E3" s="96" t="s">
        <v>0</v>
      </c>
      <c r="F3" s="96" t="s">
        <v>197</v>
      </c>
      <c r="G3" s="96" t="s">
        <v>91</v>
      </c>
      <c r="H3" s="475" t="s">
        <v>245</v>
      </c>
      <c r="I3" s="96" t="s">
        <v>92</v>
      </c>
      <c r="J3" s="96" t="s">
        <v>93</v>
      </c>
      <c r="K3" s="228" t="s">
        <v>111</v>
      </c>
      <c r="L3" s="296" t="s">
        <v>107</v>
      </c>
      <c r="M3" s="29" t="s">
        <v>99</v>
      </c>
    </row>
    <row r="4" spans="1:13" ht="13.5" customHeight="1">
      <c r="A4" s="361"/>
      <c r="B4" s="390"/>
      <c r="C4" s="391"/>
      <c r="D4" s="244">
        <v>101</v>
      </c>
      <c r="E4" s="245"/>
      <c r="F4" s="246"/>
      <c r="G4" s="247"/>
      <c r="H4" s="248"/>
      <c r="I4" s="248"/>
      <c r="J4" s="249">
        <f>G4*H4*I4</f>
        <v>0</v>
      </c>
      <c r="K4" s="250"/>
      <c r="L4" s="251"/>
      <c r="M4" s="29">
        <f aca="true" t="shared" si="0" ref="M4:M23">IF(K4="◎",J4,"")</f>
      </c>
    </row>
    <row r="5" spans="1:13" ht="13.5" customHeight="1">
      <c r="A5" s="252"/>
      <c r="B5" s="392"/>
      <c r="C5" s="393"/>
      <c r="D5" s="255">
        <v>102</v>
      </c>
      <c r="E5" s="256"/>
      <c r="F5" s="257"/>
      <c r="G5" s="258"/>
      <c r="H5" s="259"/>
      <c r="I5" s="259"/>
      <c r="J5" s="260">
        <f>G5*H5*I5</f>
        <v>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86" t="s">
        <v>176</v>
      </c>
      <c r="I26" s="586"/>
      <c r="J26" s="586" t="s">
        <v>173</v>
      </c>
      <c r="K26" s="587"/>
    </row>
    <row r="27" spans="2:11" ht="13.5" customHeight="1" thickTop="1">
      <c r="B27" s="53"/>
      <c r="C27" s="53"/>
      <c r="D27" s="67"/>
      <c r="F27" s="297" t="s">
        <v>85</v>
      </c>
      <c r="G27" s="348">
        <f>SUMIF($E$4:$E$23,F27,$J$4:$J$23)</f>
        <v>0</v>
      </c>
      <c r="H27" s="561">
        <f>SUMIF($E$4:$E$23,F27,$M$4:$M$23)</f>
        <v>0</v>
      </c>
      <c r="I27" s="561"/>
      <c r="J27" s="561">
        <f aca="true" t="shared" si="2" ref="J27:J35">G27-H27</f>
        <v>0</v>
      </c>
      <c r="K27" s="625"/>
    </row>
    <row r="28" spans="2:11" ht="13.5" customHeight="1">
      <c r="B28" s="53"/>
      <c r="C28" s="53"/>
      <c r="D28" s="67"/>
      <c r="F28" s="298" t="s">
        <v>86</v>
      </c>
      <c r="G28" s="348">
        <f aca="true" t="shared" si="3" ref="G28:G35">SUMIF($E$4:$E$23,F28,$J$4:$J$23)</f>
        <v>0</v>
      </c>
      <c r="H28" s="539">
        <f aca="true" t="shared" si="4" ref="H28:H35">SUMIF($E$4:$E$23,F28,$M$4:$M$23)</f>
        <v>0</v>
      </c>
      <c r="I28" s="539"/>
      <c r="J28" s="539">
        <f t="shared" si="2"/>
        <v>0</v>
      </c>
      <c r="K28" s="542"/>
    </row>
    <row r="29" spans="2:11" ht="13.5" customHeight="1">
      <c r="B29" s="53"/>
      <c r="C29" s="53"/>
      <c r="D29" s="67"/>
      <c r="F29" s="298" t="s">
        <v>125</v>
      </c>
      <c r="G29" s="348">
        <f t="shared" si="3"/>
        <v>0</v>
      </c>
      <c r="H29" s="539">
        <f t="shared" si="4"/>
        <v>0</v>
      </c>
      <c r="I29" s="539"/>
      <c r="J29" s="539">
        <f t="shared" si="2"/>
        <v>0</v>
      </c>
      <c r="K29" s="542"/>
    </row>
    <row r="30" spans="2:11" ht="13.5" customHeight="1">
      <c r="B30" s="53"/>
      <c r="C30" s="53"/>
      <c r="D30" s="67"/>
      <c r="F30" s="298" t="s">
        <v>126</v>
      </c>
      <c r="G30" s="348">
        <f t="shared" si="3"/>
        <v>0</v>
      </c>
      <c r="H30" s="539">
        <f t="shared" si="4"/>
        <v>0</v>
      </c>
      <c r="I30" s="539"/>
      <c r="J30" s="539">
        <f t="shared" si="2"/>
        <v>0</v>
      </c>
      <c r="K30" s="542"/>
    </row>
    <row r="31" spans="2:11" ht="13.5" customHeight="1">
      <c r="B31" s="53"/>
      <c r="C31" s="53"/>
      <c r="D31" s="67"/>
      <c r="F31" s="298" t="s">
        <v>87</v>
      </c>
      <c r="G31" s="348">
        <f t="shared" si="3"/>
        <v>0</v>
      </c>
      <c r="H31" s="539">
        <f t="shared" si="4"/>
        <v>0</v>
      </c>
      <c r="I31" s="539"/>
      <c r="J31" s="539">
        <f t="shared" si="2"/>
        <v>0</v>
      </c>
      <c r="K31" s="542"/>
    </row>
    <row r="32" spans="2:11" ht="13.5" customHeight="1">
      <c r="B32" s="53"/>
      <c r="C32" s="53"/>
      <c r="D32" s="67"/>
      <c r="F32" s="298" t="s">
        <v>88</v>
      </c>
      <c r="G32" s="348">
        <f t="shared" si="3"/>
        <v>0</v>
      </c>
      <c r="H32" s="539">
        <f t="shared" si="4"/>
        <v>0</v>
      </c>
      <c r="I32" s="539"/>
      <c r="J32" s="539">
        <f t="shared" si="2"/>
        <v>0</v>
      </c>
      <c r="K32" s="542"/>
    </row>
    <row r="33" spans="2:11" ht="13.5" customHeight="1">
      <c r="B33" s="53"/>
      <c r="C33" s="53"/>
      <c r="D33" s="67"/>
      <c r="F33" s="298" t="s">
        <v>89</v>
      </c>
      <c r="G33" s="348">
        <f t="shared" si="3"/>
        <v>0</v>
      </c>
      <c r="H33" s="539">
        <f t="shared" si="4"/>
        <v>0</v>
      </c>
      <c r="I33" s="539"/>
      <c r="J33" s="539">
        <f t="shared" si="2"/>
        <v>0</v>
      </c>
      <c r="K33" s="542"/>
    </row>
    <row r="34" spans="2:11" ht="13.5" customHeight="1">
      <c r="B34" s="53"/>
      <c r="C34" s="53"/>
      <c r="D34" s="67"/>
      <c r="F34" s="298" t="s">
        <v>90</v>
      </c>
      <c r="G34" s="348">
        <f t="shared" si="3"/>
        <v>0</v>
      </c>
      <c r="H34" s="539">
        <f t="shared" si="4"/>
        <v>0</v>
      </c>
      <c r="I34" s="539"/>
      <c r="J34" s="539">
        <f t="shared" si="2"/>
        <v>0</v>
      </c>
      <c r="K34" s="542"/>
    </row>
    <row r="35" spans="2:11" ht="13.5" customHeight="1" thickBot="1">
      <c r="B35" s="53"/>
      <c r="C35" s="53"/>
      <c r="D35" s="67"/>
      <c r="F35" s="429" t="s">
        <v>138</v>
      </c>
      <c r="G35" s="431">
        <f t="shared" si="3"/>
        <v>0</v>
      </c>
      <c r="H35" s="614">
        <f t="shared" si="4"/>
        <v>0</v>
      </c>
      <c r="I35" s="614"/>
      <c r="J35" s="614">
        <f t="shared" si="2"/>
        <v>0</v>
      </c>
      <c r="K35" s="615"/>
    </row>
    <row r="36" spans="2:11" ht="13.5" customHeight="1" thickBot="1" thickTop="1">
      <c r="B36" s="53"/>
      <c r="C36" s="53"/>
      <c r="D36" s="47"/>
      <c r="F36" s="427" t="s">
        <v>15</v>
      </c>
      <c r="G36" s="357">
        <f>SUM(G27:G35)</f>
        <v>0</v>
      </c>
      <c r="H36" s="611">
        <f>SUM(H27:H35)</f>
        <v>0</v>
      </c>
      <c r="I36" s="611"/>
      <c r="J36" s="611">
        <f>SUM(J27:J35)</f>
        <v>0</v>
      </c>
      <c r="K36" s="61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9" operator="equal" stopIfTrue="1">
      <formula>0</formula>
    </cfRule>
  </conditionalFormatting>
  <conditionalFormatting sqref="J24">
    <cfRule type="cellIs" priority="2" dxfId="29" operator="equal" stopIfTrue="1">
      <formula>0</formula>
    </cfRule>
  </conditionalFormatting>
  <conditionalFormatting sqref="B2:C2">
    <cfRule type="cellIs" priority="1" dxfId="29"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499" t="s">
        <v>267</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1" t="s">
        <v>84</v>
      </c>
      <c r="B14" s="502"/>
      <c r="C14" s="503"/>
      <c r="D14" s="504">
        <f>'1-1'!D14:F14</f>
        <v>1190000</v>
      </c>
      <c r="E14" s="505"/>
      <c r="F14" s="506"/>
      <c r="G14" s="593"/>
      <c r="H14" s="594"/>
      <c r="I14" s="594"/>
      <c r="J14" s="594"/>
      <c r="K14" s="97">
        <f>'1-1'!K14</f>
        <v>0</v>
      </c>
    </row>
    <row r="15" spans="1:11" ht="39" customHeight="1" thickBot="1">
      <c r="A15" s="19"/>
      <c r="B15" s="18" t="s">
        <v>8</v>
      </c>
      <c r="C15" s="17" t="s">
        <v>9</v>
      </c>
      <c r="D15" s="16" t="s">
        <v>124</v>
      </c>
      <c r="E15" s="16" t="s">
        <v>123</v>
      </c>
      <c r="F15" s="17" t="s">
        <v>10</v>
      </c>
      <c r="G15" s="17" t="s">
        <v>11</v>
      </c>
      <c r="H15" s="449" t="s">
        <v>248</v>
      </c>
      <c r="I15" s="16" t="s">
        <v>12</v>
      </c>
      <c r="J15" s="448" t="s">
        <v>254</v>
      </c>
      <c r="K15" s="23" t="s">
        <v>15</v>
      </c>
    </row>
    <row r="16" spans="1:11" ht="39" customHeight="1" thickTop="1">
      <c r="A16" s="21" t="s">
        <v>102</v>
      </c>
      <c r="B16" s="435">
        <f>'1-1'!B21</f>
        <v>440000</v>
      </c>
      <c r="C16" s="322">
        <f>'1-1'!C21</f>
        <v>132000</v>
      </c>
      <c r="D16" s="322">
        <f>'1-1'!D21</f>
        <v>150210</v>
      </c>
      <c r="E16" s="322">
        <f>'1-1'!E21</f>
        <v>0</v>
      </c>
      <c r="F16" s="322">
        <f>'1-1'!F21</f>
        <v>17000</v>
      </c>
      <c r="G16" s="322">
        <f>'1-1'!G21</f>
        <v>49360</v>
      </c>
      <c r="H16" s="322">
        <f>'1-1'!H21</f>
        <v>0</v>
      </c>
      <c r="I16" s="322">
        <f>'1-1'!I21</f>
        <v>0</v>
      </c>
      <c r="J16" s="436">
        <f>'1-1'!J21</f>
        <v>51430</v>
      </c>
      <c r="K16" s="437">
        <f aca="true" t="shared" si="0" ref="K16:K22">SUM(B16:J16)</f>
        <v>840000</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4">
        <f>SUM(B16:B17)</f>
        <v>440000</v>
      </c>
      <c r="C20" s="224">
        <f aca="true" t="shared" si="2" ref="C20:J20">SUM(C16:C17)</f>
        <v>132000</v>
      </c>
      <c r="D20" s="224">
        <f t="shared" si="2"/>
        <v>150210</v>
      </c>
      <c r="E20" s="224">
        <f t="shared" si="2"/>
        <v>0</v>
      </c>
      <c r="F20" s="224">
        <f t="shared" si="2"/>
        <v>17000</v>
      </c>
      <c r="G20" s="224">
        <f t="shared" si="2"/>
        <v>49360</v>
      </c>
      <c r="H20" s="224">
        <f t="shared" si="2"/>
        <v>0</v>
      </c>
      <c r="I20" s="224">
        <f t="shared" si="2"/>
        <v>0</v>
      </c>
      <c r="J20" s="224">
        <f t="shared" si="2"/>
        <v>51430</v>
      </c>
      <c r="K20" s="434">
        <f t="shared" si="0"/>
        <v>840000</v>
      </c>
    </row>
    <row r="21" spans="1:11" ht="39" customHeight="1">
      <c r="A21" s="21" t="s">
        <v>166</v>
      </c>
      <c r="B21" s="454">
        <f>'1-1'!B22</f>
        <v>100000</v>
      </c>
      <c r="C21" s="454">
        <f>'1-1'!C22</f>
        <v>250000</v>
      </c>
      <c r="D21" s="454">
        <f>'1-1'!D22</f>
        <v>0</v>
      </c>
      <c r="E21" s="454">
        <f>'1-1'!E22</f>
        <v>0</v>
      </c>
      <c r="F21" s="454">
        <f>'1-1'!F22</f>
        <v>0</v>
      </c>
      <c r="G21" s="454">
        <f>'1-1'!G22</f>
        <v>0</v>
      </c>
      <c r="H21" s="454">
        <f>'1-1'!H22</f>
        <v>0</v>
      </c>
      <c r="I21" s="454">
        <f>'1-1'!I22</f>
        <v>0</v>
      </c>
      <c r="J21" s="454">
        <f>'1-1'!J22</f>
        <v>0</v>
      </c>
      <c r="K21" s="437">
        <f t="shared" si="0"/>
        <v>350000</v>
      </c>
    </row>
    <row r="22" spans="1:11" ht="39" customHeight="1" thickBot="1">
      <c r="A22" s="22" t="s">
        <v>164</v>
      </c>
      <c r="B22" s="220">
        <f>SUM(B20:B21)</f>
        <v>540000</v>
      </c>
      <c r="C22" s="220">
        <f aca="true" t="shared" si="3" ref="C22:J22">SUM(C20:C21)</f>
        <v>382000</v>
      </c>
      <c r="D22" s="220">
        <f t="shared" si="3"/>
        <v>150210</v>
      </c>
      <c r="E22" s="220">
        <f t="shared" si="3"/>
        <v>0</v>
      </c>
      <c r="F22" s="220">
        <f t="shared" si="3"/>
        <v>17000</v>
      </c>
      <c r="G22" s="220">
        <f t="shared" si="3"/>
        <v>49360</v>
      </c>
      <c r="H22" s="220">
        <f t="shared" si="3"/>
        <v>0</v>
      </c>
      <c r="I22" s="220">
        <f t="shared" si="3"/>
        <v>0</v>
      </c>
      <c r="J22" s="220">
        <f t="shared" si="3"/>
        <v>51430</v>
      </c>
      <c r="K22" s="223">
        <f t="shared" si="0"/>
        <v>1190000</v>
      </c>
    </row>
    <row r="23" spans="1:11" ht="39" customHeight="1" thickBot="1">
      <c r="A23" s="32" t="s">
        <v>104</v>
      </c>
      <c r="B23" s="627" t="s">
        <v>136</v>
      </c>
      <c r="C23" s="628"/>
      <c r="D23" s="628"/>
      <c r="E23" s="628"/>
      <c r="F23" s="628"/>
      <c r="G23" s="628"/>
      <c r="H23" s="628"/>
      <c r="I23" s="628"/>
      <c r="J23" s="628"/>
      <c r="K23" s="629"/>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245</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245</v>
      </c>
      <c r="I20" s="96" t="s">
        <v>92</v>
      </c>
      <c r="J20" s="96" t="s">
        <v>93</v>
      </c>
      <c r="K20" s="228" t="s">
        <v>111</v>
      </c>
      <c r="L20" s="409" t="s">
        <v>107</v>
      </c>
    </row>
    <row r="21" spans="1:13" ht="14.25">
      <c r="A21" s="361"/>
      <c r="B21" s="242"/>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247</v>
      </c>
      <c r="F36" s="633"/>
      <c r="G36" s="633"/>
    </row>
    <row r="37" spans="1:12" ht="24" customHeight="1" thickBot="1">
      <c r="A37" s="53"/>
      <c r="B37" s="53"/>
      <c r="C37" s="53"/>
      <c r="D37" s="53"/>
      <c r="E37" s="240" t="s">
        <v>96</v>
      </c>
      <c r="F37" s="230" t="s">
        <v>109</v>
      </c>
      <c r="G37" s="157" t="s">
        <v>16</v>
      </c>
      <c r="H37" s="634" t="s">
        <v>244</v>
      </c>
      <c r="I37" s="635"/>
      <c r="J37" s="230" t="s">
        <v>108</v>
      </c>
      <c r="K37" s="552" t="s">
        <v>193</v>
      </c>
      <c r="L37" s="600"/>
    </row>
    <row r="38" spans="1:12" ht="14.25" thickTop="1">
      <c r="A38" s="53"/>
      <c r="B38" s="53"/>
      <c r="C38" s="53"/>
      <c r="D38" s="53"/>
      <c r="E38" s="297" t="s">
        <v>85</v>
      </c>
      <c r="F38" s="348">
        <f>'1-1'!B21</f>
        <v>440000</v>
      </c>
      <c r="G38" s="350">
        <f aca="true" t="shared" si="3" ref="G38:G46">-SUMIF($E$4:$E$18,$E38,$J$4:$J$18)+SUMIF($E$21:$E$35,$E38,$J$21:$J$35)</f>
        <v>0</v>
      </c>
      <c r="H38" s="561">
        <f aca="true" t="shared" si="4" ref="H38:H46">-SUMIF($E$4:$E$18,$E38,$M$4:$M$18)+SUMIF($E$21:$E$35,$E38,$M$21:$M$35)</f>
        <v>0</v>
      </c>
      <c r="I38" s="561"/>
      <c r="J38" s="349">
        <f aca="true" t="shared" si="5" ref="J38:J46">G38-H38</f>
        <v>0</v>
      </c>
      <c r="K38" s="561">
        <f aca="true" t="shared" si="6" ref="K38:K46">F38+G38</f>
        <v>440000</v>
      </c>
      <c r="L38" s="625"/>
    </row>
    <row r="39" spans="1:12" ht="13.5">
      <c r="A39" s="53"/>
      <c r="B39" s="53"/>
      <c r="C39" s="53"/>
      <c r="D39" s="53"/>
      <c r="E39" s="298" t="s">
        <v>86</v>
      </c>
      <c r="F39" s="352">
        <f>'1-1'!C21</f>
        <v>132000</v>
      </c>
      <c r="G39" s="350">
        <f t="shared" si="3"/>
        <v>0</v>
      </c>
      <c r="H39" s="539">
        <f t="shared" si="4"/>
        <v>0</v>
      </c>
      <c r="I39" s="539"/>
      <c r="J39" s="352">
        <f t="shared" si="5"/>
        <v>0</v>
      </c>
      <c r="K39" s="539">
        <f t="shared" si="6"/>
        <v>132000</v>
      </c>
      <c r="L39" s="542"/>
    </row>
    <row r="40" spans="1:12" ht="13.5">
      <c r="A40" s="53"/>
      <c r="B40" s="53"/>
      <c r="C40" s="53"/>
      <c r="D40" s="53"/>
      <c r="E40" s="298" t="s">
        <v>125</v>
      </c>
      <c r="F40" s="352">
        <f>'1-1'!D21</f>
        <v>150210</v>
      </c>
      <c r="G40" s="350">
        <f t="shared" si="3"/>
        <v>0</v>
      </c>
      <c r="H40" s="539">
        <f t="shared" si="4"/>
        <v>0</v>
      </c>
      <c r="I40" s="539"/>
      <c r="J40" s="352">
        <f t="shared" si="5"/>
        <v>0</v>
      </c>
      <c r="K40" s="539">
        <f t="shared" si="6"/>
        <v>150210</v>
      </c>
      <c r="L40" s="542"/>
    </row>
    <row r="41" spans="1:12" ht="13.5">
      <c r="A41" s="53"/>
      <c r="B41" s="53"/>
      <c r="C41" s="53"/>
      <c r="D41" s="53"/>
      <c r="E41" s="298" t="s">
        <v>126</v>
      </c>
      <c r="F41" s="352">
        <f>'1-1'!E21</f>
        <v>0</v>
      </c>
      <c r="G41" s="350">
        <f t="shared" si="3"/>
        <v>0</v>
      </c>
      <c r="H41" s="539">
        <f t="shared" si="4"/>
        <v>0</v>
      </c>
      <c r="I41" s="539"/>
      <c r="J41" s="352">
        <f t="shared" si="5"/>
        <v>0</v>
      </c>
      <c r="K41" s="539">
        <f t="shared" si="6"/>
        <v>0</v>
      </c>
      <c r="L41" s="542"/>
    </row>
    <row r="42" spans="1:12" ht="13.5">
      <c r="A42" s="53"/>
      <c r="B42" s="53"/>
      <c r="C42" s="53"/>
      <c r="D42" s="53"/>
      <c r="E42" s="298" t="s">
        <v>87</v>
      </c>
      <c r="F42" s="352">
        <f>'1-1'!F21</f>
        <v>17000</v>
      </c>
      <c r="G42" s="350">
        <f t="shared" si="3"/>
        <v>0</v>
      </c>
      <c r="H42" s="539">
        <f t="shared" si="4"/>
        <v>0</v>
      </c>
      <c r="I42" s="539"/>
      <c r="J42" s="352">
        <f t="shared" si="5"/>
        <v>0</v>
      </c>
      <c r="K42" s="539">
        <f t="shared" si="6"/>
        <v>17000</v>
      </c>
      <c r="L42" s="542"/>
    </row>
    <row r="43" spans="1:12" ht="13.5">
      <c r="A43" s="53"/>
      <c r="B43" s="53"/>
      <c r="C43" s="53"/>
      <c r="D43" s="53"/>
      <c r="E43" s="298" t="s">
        <v>88</v>
      </c>
      <c r="F43" s="352">
        <f>'1-1'!G21</f>
        <v>49360</v>
      </c>
      <c r="G43" s="350">
        <f t="shared" si="3"/>
        <v>0</v>
      </c>
      <c r="H43" s="539">
        <f t="shared" si="4"/>
        <v>0</v>
      </c>
      <c r="I43" s="539"/>
      <c r="J43" s="352">
        <f t="shared" si="5"/>
        <v>0</v>
      </c>
      <c r="K43" s="539">
        <f t="shared" si="6"/>
        <v>49360</v>
      </c>
      <c r="L43" s="542"/>
    </row>
    <row r="44" spans="1:12" ht="13.5">
      <c r="A44" s="53"/>
      <c r="B44" s="53"/>
      <c r="C44" s="53"/>
      <c r="D44" s="53"/>
      <c r="E44" s="298" t="s">
        <v>89</v>
      </c>
      <c r="F44" s="352">
        <f>'1-1'!H21</f>
        <v>0</v>
      </c>
      <c r="G44" s="350">
        <f t="shared" si="3"/>
        <v>0</v>
      </c>
      <c r="H44" s="539">
        <f t="shared" si="4"/>
        <v>0</v>
      </c>
      <c r="I44" s="539"/>
      <c r="J44" s="352">
        <f t="shared" si="5"/>
        <v>0</v>
      </c>
      <c r="K44" s="539">
        <f t="shared" si="6"/>
        <v>0</v>
      </c>
      <c r="L44" s="542"/>
    </row>
    <row r="45" spans="1:12" ht="13.5">
      <c r="A45" s="53"/>
      <c r="B45" s="53"/>
      <c r="C45" s="53"/>
      <c r="D45" s="53"/>
      <c r="E45" s="298" t="s">
        <v>90</v>
      </c>
      <c r="F45" s="352">
        <f>'1-1'!I21</f>
        <v>0</v>
      </c>
      <c r="G45" s="350">
        <f t="shared" si="3"/>
        <v>0</v>
      </c>
      <c r="H45" s="539">
        <f t="shared" si="4"/>
        <v>0</v>
      </c>
      <c r="I45" s="539"/>
      <c r="J45" s="352">
        <f t="shared" si="5"/>
        <v>0</v>
      </c>
      <c r="K45" s="539">
        <f t="shared" si="6"/>
        <v>0</v>
      </c>
      <c r="L45" s="542"/>
    </row>
    <row r="46" spans="1:12" ht="14.25" thickBot="1">
      <c r="A46" s="53"/>
      <c r="B46" s="53"/>
      <c r="C46" s="53"/>
      <c r="D46" s="53"/>
      <c r="E46" s="298" t="s">
        <v>138</v>
      </c>
      <c r="F46" s="399">
        <f>'1-1'!J21</f>
        <v>51430</v>
      </c>
      <c r="G46" s="350">
        <f t="shared" si="3"/>
        <v>0</v>
      </c>
      <c r="H46" s="614">
        <f t="shared" si="4"/>
        <v>0</v>
      </c>
      <c r="I46" s="614"/>
      <c r="J46" s="353">
        <f t="shared" si="5"/>
        <v>0</v>
      </c>
      <c r="K46" s="614">
        <f t="shared" si="6"/>
        <v>51430</v>
      </c>
      <c r="L46" s="615"/>
    </row>
    <row r="47" spans="1:12" ht="15" thickBot="1" thickTop="1">
      <c r="A47" s="53"/>
      <c r="B47" s="53"/>
      <c r="C47" s="53"/>
      <c r="D47" s="53"/>
      <c r="E47" s="400" t="s">
        <v>15</v>
      </c>
      <c r="F47" s="355">
        <f>SUM(F38:F46)</f>
        <v>840000</v>
      </c>
      <c r="G47" s="356">
        <f>SUM(G38:G46)</f>
        <v>0</v>
      </c>
      <c r="H47" s="630">
        <f>SUM(H38:I46)</f>
        <v>0</v>
      </c>
      <c r="I47" s="632"/>
      <c r="J47" s="357">
        <f>SUM(J38:J46)</f>
        <v>0</v>
      </c>
      <c r="K47" s="630">
        <f>SUM(K38:L46)</f>
        <v>840000</v>
      </c>
      <c r="L47" s="63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9" operator="equal" stopIfTrue="1">
      <formula>0</formula>
    </cfRule>
  </conditionalFormatting>
  <conditionalFormatting sqref="J21:J35 E4:L18">
    <cfRule type="cellIs" priority="6" dxfId="29" operator="equal" stopIfTrue="1">
      <formula>0</formula>
    </cfRule>
  </conditionalFormatting>
  <conditionalFormatting sqref="B2:D2">
    <cfRule type="cellIs" priority="2" dxfId="29"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9" t="s">
        <v>14</v>
      </c>
      <c r="I1" s="509"/>
      <c r="J1" s="509"/>
      <c r="K1" s="509"/>
    </row>
    <row r="2" spans="8:11" s="1" customFormat="1" ht="18" customHeight="1">
      <c r="H2" s="509" t="s">
        <v>7</v>
      </c>
      <c r="I2" s="509"/>
      <c r="J2" s="509"/>
      <c r="K2" s="509"/>
    </row>
    <row r="3" s="1" customFormat="1" ht="18" customHeight="1">
      <c r="K3" s="2"/>
    </row>
    <row r="4" spans="8:11" s="1" customFormat="1" ht="18" customHeight="1">
      <c r="H4" s="510" t="s">
        <v>6</v>
      </c>
      <c r="I4" s="510"/>
      <c r="J4" s="510"/>
      <c r="K4" s="510"/>
    </row>
    <row r="5" spans="8:11" s="1" customFormat="1" ht="18" customHeight="1">
      <c r="H5" s="510" t="s">
        <v>145</v>
      </c>
      <c r="I5" s="510"/>
      <c r="J5" s="510"/>
      <c r="K5" s="510"/>
    </row>
    <row r="6" spans="1:11" s="1" customFormat="1" ht="18" customHeight="1">
      <c r="A6" s="3" t="s">
        <v>2</v>
      </c>
      <c r="H6" s="4"/>
      <c r="K6" s="11"/>
    </row>
    <row r="7" spans="1:11" s="1" customFormat="1" ht="18" customHeight="1">
      <c r="A7" s="4"/>
      <c r="H7" s="510" t="s">
        <v>3</v>
      </c>
      <c r="I7" s="510"/>
      <c r="J7" s="510"/>
      <c r="K7" s="510"/>
    </row>
    <row r="8" spans="1:11" s="1" customFormat="1" ht="18" customHeight="1">
      <c r="A8" s="4"/>
      <c r="H8" s="510" t="s">
        <v>4</v>
      </c>
      <c r="I8" s="510"/>
      <c r="J8" s="510"/>
      <c r="K8" s="510"/>
    </row>
    <row r="9" spans="1:11" s="1" customFormat="1" ht="42" customHeight="1">
      <c r="A9" s="4"/>
      <c r="H9" s="2"/>
      <c r="K9" s="46"/>
    </row>
    <row r="10" spans="1:11" ht="24" customHeight="1">
      <c r="A10" s="499" t="s">
        <v>269</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1" t="s">
        <v>84</v>
      </c>
      <c r="B14" s="502"/>
      <c r="C14" s="503"/>
      <c r="D14" s="504">
        <f>'1-1'!D14:F14</f>
        <v>1190000</v>
      </c>
      <c r="E14" s="505"/>
      <c r="F14" s="506"/>
      <c r="G14" s="593"/>
      <c r="H14" s="594"/>
      <c r="I14" s="594"/>
      <c r="J14" s="594"/>
      <c r="K14" s="97">
        <f>'1-1'!K14</f>
        <v>0</v>
      </c>
    </row>
    <row r="15" spans="1:11" ht="39" customHeight="1" thickBot="1">
      <c r="A15" s="19"/>
      <c r="B15" s="18" t="s">
        <v>8</v>
      </c>
      <c r="C15" s="17" t="s">
        <v>9</v>
      </c>
      <c r="D15" s="16" t="s">
        <v>124</v>
      </c>
      <c r="E15" s="16" t="s">
        <v>123</v>
      </c>
      <c r="F15" s="17" t="s">
        <v>10</v>
      </c>
      <c r="G15" s="17" t="s">
        <v>11</v>
      </c>
      <c r="H15" s="449" t="s">
        <v>248</v>
      </c>
      <c r="I15" s="16" t="s">
        <v>12</v>
      </c>
      <c r="J15" s="448" t="s">
        <v>252</v>
      </c>
      <c r="K15" s="23" t="s">
        <v>15</v>
      </c>
    </row>
    <row r="16" spans="1:11" ht="39" customHeight="1" thickTop="1">
      <c r="A16" s="21" t="s">
        <v>168</v>
      </c>
      <c r="B16" s="435">
        <f>'2-1'!B23</f>
        <v>372000</v>
      </c>
      <c r="C16" s="435">
        <f>'2-1'!C23</f>
        <v>372340</v>
      </c>
      <c r="D16" s="435">
        <f>'2-1'!D23</f>
        <v>67210</v>
      </c>
      <c r="E16" s="435">
        <f>'2-1'!E23</f>
        <v>0</v>
      </c>
      <c r="F16" s="435">
        <f>'2-1'!F23</f>
        <v>17000</v>
      </c>
      <c r="G16" s="435">
        <f>'2-1'!G23</f>
        <v>48860</v>
      </c>
      <c r="H16" s="435">
        <f>'2-1'!H23</f>
        <v>0</v>
      </c>
      <c r="I16" s="435">
        <f>'2-1'!I23</f>
        <v>0</v>
      </c>
      <c r="J16" s="435">
        <f>'2-1'!J23</f>
        <v>12100</v>
      </c>
      <c r="K16" s="437">
        <f aca="true" t="shared" si="0" ref="K16:K23">SUM(B16:J16)</f>
        <v>889510</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372000</v>
      </c>
      <c r="C18" s="438">
        <f aca="true" t="shared" si="1" ref="C18:J18">C16-C17</f>
        <v>372340</v>
      </c>
      <c r="D18" s="438">
        <f t="shared" si="1"/>
        <v>67210</v>
      </c>
      <c r="E18" s="438">
        <f t="shared" si="1"/>
        <v>0</v>
      </c>
      <c r="F18" s="438">
        <f t="shared" si="1"/>
        <v>17000</v>
      </c>
      <c r="G18" s="438">
        <f t="shared" si="1"/>
        <v>48860</v>
      </c>
      <c r="H18" s="438">
        <f t="shared" si="1"/>
        <v>0</v>
      </c>
      <c r="I18" s="438">
        <f t="shared" si="1"/>
        <v>0</v>
      </c>
      <c r="J18" s="438">
        <f t="shared" si="1"/>
        <v>12100</v>
      </c>
      <c r="K18" s="441">
        <f t="shared" si="0"/>
        <v>889510</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4">
        <f>B16+B19</f>
        <v>372000</v>
      </c>
      <c r="C22" s="224">
        <f aca="true" t="shared" si="3" ref="C22:J22">C16+C19</f>
        <v>372340</v>
      </c>
      <c r="D22" s="224">
        <f t="shared" si="3"/>
        <v>67210</v>
      </c>
      <c r="E22" s="224">
        <f t="shared" si="3"/>
        <v>0</v>
      </c>
      <c r="F22" s="224">
        <f t="shared" si="3"/>
        <v>17000</v>
      </c>
      <c r="G22" s="224">
        <f t="shared" si="3"/>
        <v>48860</v>
      </c>
      <c r="H22" s="224">
        <f t="shared" si="3"/>
        <v>0</v>
      </c>
      <c r="I22" s="224">
        <f t="shared" si="3"/>
        <v>0</v>
      </c>
      <c r="J22" s="224">
        <f t="shared" si="3"/>
        <v>12100</v>
      </c>
      <c r="K22" s="434">
        <f t="shared" si="0"/>
        <v>889510</v>
      </c>
    </row>
    <row r="23" spans="1:11" ht="39" customHeight="1" thickBot="1">
      <c r="A23" s="22" t="s">
        <v>170</v>
      </c>
      <c r="B23" s="220">
        <f>'2-1'!B19+'随時③-1'!B22</f>
        <v>560000</v>
      </c>
      <c r="C23" s="220">
        <f>'2-1'!C19+'随時③-1'!C22</f>
        <v>442000</v>
      </c>
      <c r="D23" s="220">
        <f>'2-1'!D19+'随時③-1'!D22</f>
        <v>70210</v>
      </c>
      <c r="E23" s="220">
        <f>'2-1'!E19+'随時③-1'!E22</f>
        <v>0</v>
      </c>
      <c r="F23" s="220">
        <f>'2-1'!F19+'随時③-1'!F22</f>
        <v>17000</v>
      </c>
      <c r="G23" s="220">
        <f>'2-1'!G19+'随時③-1'!G22</f>
        <v>48860</v>
      </c>
      <c r="H23" s="220">
        <f>'2-1'!H19+'随時③-1'!H22</f>
        <v>0</v>
      </c>
      <c r="I23" s="220">
        <f>'2-1'!I19+'随時③-1'!I22</f>
        <v>0</v>
      </c>
      <c r="J23" s="220">
        <f>'2-1'!J19+'随時③-1'!J22</f>
        <v>51930</v>
      </c>
      <c r="K23" s="223">
        <f t="shared" si="0"/>
        <v>1190000</v>
      </c>
    </row>
    <row r="24" spans="1:11" ht="39" customHeight="1" thickBot="1">
      <c r="A24" s="32" t="s">
        <v>104</v>
      </c>
      <c r="B24" s="636" t="s">
        <v>122</v>
      </c>
      <c r="C24" s="570"/>
      <c r="D24" s="570"/>
      <c r="E24" s="570"/>
      <c r="F24" s="570"/>
      <c r="G24" s="570"/>
      <c r="H24" s="570"/>
      <c r="I24" s="570"/>
      <c r="J24" s="570"/>
      <c r="K24" s="571"/>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245</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245</v>
      </c>
      <c r="I20" s="96" t="s">
        <v>92</v>
      </c>
      <c r="J20" s="96" t="s">
        <v>93</v>
      </c>
      <c r="K20" s="228" t="s">
        <v>111</v>
      </c>
      <c r="L20" s="409" t="s">
        <v>107</v>
      </c>
    </row>
    <row r="21" spans="1:13" s="467" customFormat="1" ht="13.5" customHeight="1">
      <c r="A21" s="361"/>
      <c r="B21" s="242"/>
      <c r="C21" s="263"/>
      <c r="D21" s="466">
        <v>401</v>
      </c>
      <c r="E21" s="276"/>
      <c r="F21" s="276"/>
      <c r="G21" s="341"/>
      <c r="H21" s="342"/>
      <c r="I21" s="342"/>
      <c r="J21" s="382">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2">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2">
        <f t="shared" si="2"/>
        <v>0</v>
      </c>
      <c r="K23" s="261"/>
      <c r="L23" s="262"/>
      <c r="M23" s="467">
        <f t="shared" si="1"/>
      </c>
    </row>
    <row r="24" spans="1:13" s="467" customFormat="1" ht="13.5" customHeight="1">
      <c r="A24" s="252"/>
      <c r="B24" s="253"/>
      <c r="C24" s="254"/>
      <c r="D24" s="468">
        <v>404</v>
      </c>
      <c r="E24" s="276"/>
      <c r="F24" s="257"/>
      <c r="G24" s="320"/>
      <c r="H24" s="321"/>
      <c r="I24" s="321"/>
      <c r="J24" s="382">
        <f t="shared" si="2"/>
        <v>0</v>
      </c>
      <c r="K24" s="261"/>
      <c r="L24" s="262"/>
      <c r="M24" s="467">
        <f t="shared" si="1"/>
      </c>
    </row>
    <row r="25" spans="1:13" s="467" customFormat="1" ht="13.5" customHeight="1">
      <c r="A25" s="252"/>
      <c r="B25" s="253"/>
      <c r="C25" s="254"/>
      <c r="D25" s="468">
        <v>405</v>
      </c>
      <c r="E25" s="276"/>
      <c r="F25" s="257"/>
      <c r="G25" s="320"/>
      <c r="H25" s="321"/>
      <c r="I25" s="321"/>
      <c r="J25" s="382">
        <f t="shared" si="2"/>
        <v>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246</v>
      </c>
      <c r="F36" s="633"/>
      <c r="G36" s="633"/>
    </row>
    <row r="37" spans="1:12" ht="24" customHeight="1" thickBot="1">
      <c r="A37" s="53"/>
      <c r="B37" s="53"/>
      <c r="C37" s="53"/>
      <c r="E37" s="240" t="s">
        <v>96</v>
      </c>
      <c r="F37" s="230" t="s">
        <v>172</v>
      </c>
      <c r="G37" s="230" t="s">
        <v>16</v>
      </c>
      <c r="H37" s="634" t="s">
        <v>244</v>
      </c>
      <c r="I37" s="635"/>
      <c r="J37" s="157" t="s">
        <v>108</v>
      </c>
      <c r="K37" s="616" t="s">
        <v>194</v>
      </c>
      <c r="L37" s="617"/>
    </row>
    <row r="38" spans="1:12" ht="14.25" thickTop="1">
      <c r="A38" s="53"/>
      <c r="B38" s="53"/>
      <c r="C38" s="53"/>
      <c r="E38" s="298" t="s">
        <v>85</v>
      </c>
      <c r="F38" s="348">
        <f>'2-1'!B23</f>
        <v>372000</v>
      </c>
      <c r="G38" s="348">
        <f aca="true" t="shared" si="3" ref="G38:G46">-SUMIF($E$4:$E$18,$E38,$J$4:$J$18)+SUMIF($E$21:$E$35,$E38,$J$21:$J$35)</f>
        <v>0</v>
      </c>
      <c r="H38" s="562">
        <f aca="true" t="shared" si="4" ref="H38:H46">-SUMIF($E$4:$E$18,$E38,$M$4:$M$18)+SUMIF($E$21:$E$35,$E38,$M$21:$M$35)</f>
        <v>0</v>
      </c>
      <c r="I38" s="607"/>
      <c r="J38" s="350">
        <f aca="true" t="shared" si="5" ref="J38:J46">G38-H38</f>
        <v>0</v>
      </c>
      <c r="K38" s="543">
        <f aca="true" t="shared" si="6" ref="K38:K46">F38+G38</f>
        <v>372000</v>
      </c>
      <c r="L38" s="618"/>
    </row>
    <row r="39" spans="1:12" ht="13.5">
      <c r="A39" s="53"/>
      <c r="B39" s="53"/>
      <c r="C39" s="53"/>
      <c r="E39" s="298" t="s">
        <v>86</v>
      </c>
      <c r="F39" s="352">
        <f>'2-1'!C23</f>
        <v>372340</v>
      </c>
      <c r="G39" s="348">
        <f t="shared" si="3"/>
        <v>0</v>
      </c>
      <c r="H39" s="540">
        <f t="shared" si="4"/>
        <v>0</v>
      </c>
      <c r="I39" s="596"/>
      <c r="J39" s="350">
        <f t="shared" si="5"/>
        <v>0</v>
      </c>
      <c r="K39" s="543">
        <f t="shared" si="6"/>
        <v>372340</v>
      </c>
      <c r="L39" s="618"/>
    </row>
    <row r="40" spans="1:12" ht="13.5">
      <c r="A40" s="53"/>
      <c r="B40" s="53"/>
      <c r="C40" s="53"/>
      <c r="E40" s="298" t="s">
        <v>125</v>
      </c>
      <c r="F40" s="352">
        <f>'2-1'!D23</f>
        <v>67210</v>
      </c>
      <c r="G40" s="348">
        <f t="shared" si="3"/>
        <v>0</v>
      </c>
      <c r="H40" s="540">
        <f t="shared" si="4"/>
        <v>0</v>
      </c>
      <c r="I40" s="596"/>
      <c r="J40" s="350">
        <f t="shared" si="5"/>
        <v>0</v>
      </c>
      <c r="K40" s="543">
        <f t="shared" si="6"/>
        <v>67210</v>
      </c>
      <c r="L40" s="618"/>
    </row>
    <row r="41" spans="1:12" ht="13.5">
      <c r="A41" s="53"/>
      <c r="B41" s="53"/>
      <c r="C41" s="53"/>
      <c r="E41" s="298" t="s">
        <v>126</v>
      </c>
      <c r="F41" s="352">
        <f>'2-1'!E23</f>
        <v>0</v>
      </c>
      <c r="G41" s="348">
        <f t="shared" si="3"/>
        <v>0</v>
      </c>
      <c r="H41" s="540">
        <f t="shared" si="4"/>
        <v>0</v>
      </c>
      <c r="I41" s="596"/>
      <c r="J41" s="350">
        <f t="shared" si="5"/>
        <v>0</v>
      </c>
      <c r="K41" s="543">
        <f t="shared" si="6"/>
        <v>0</v>
      </c>
      <c r="L41" s="618"/>
    </row>
    <row r="42" spans="1:12" ht="13.5">
      <c r="A42" s="53"/>
      <c r="B42" s="53"/>
      <c r="C42" s="53"/>
      <c r="E42" s="298" t="s">
        <v>87</v>
      </c>
      <c r="F42" s="352">
        <f>'2-1'!F23</f>
        <v>17000</v>
      </c>
      <c r="G42" s="348">
        <f t="shared" si="3"/>
        <v>0</v>
      </c>
      <c r="H42" s="540">
        <f t="shared" si="4"/>
        <v>0</v>
      </c>
      <c r="I42" s="596"/>
      <c r="J42" s="350">
        <f t="shared" si="5"/>
        <v>0</v>
      </c>
      <c r="K42" s="543">
        <f t="shared" si="6"/>
        <v>17000</v>
      </c>
      <c r="L42" s="618"/>
    </row>
    <row r="43" spans="1:12" ht="13.5">
      <c r="A43" s="53"/>
      <c r="B43" s="53"/>
      <c r="C43" s="53"/>
      <c r="E43" s="298" t="s">
        <v>88</v>
      </c>
      <c r="F43" s="352">
        <f>'2-1'!G23</f>
        <v>48860</v>
      </c>
      <c r="G43" s="348">
        <f t="shared" si="3"/>
        <v>0</v>
      </c>
      <c r="H43" s="540">
        <f t="shared" si="4"/>
        <v>0</v>
      </c>
      <c r="I43" s="596"/>
      <c r="J43" s="350">
        <f t="shared" si="5"/>
        <v>0</v>
      </c>
      <c r="K43" s="543">
        <f t="shared" si="6"/>
        <v>48860</v>
      </c>
      <c r="L43" s="618"/>
    </row>
    <row r="44" spans="1:12" ht="13.5">
      <c r="A44" s="53"/>
      <c r="B44" s="53"/>
      <c r="C44" s="53"/>
      <c r="E44" s="298" t="s">
        <v>89</v>
      </c>
      <c r="F44" s="352">
        <f>'2-1'!H23</f>
        <v>0</v>
      </c>
      <c r="G44" s="348">
        <f t="shared" si="3"/>
        <v>0</v>
      </c>
      <c r="H44" s="540">
        <f t="shared" si="4"/>
        <v>0</v>
      </c>
      <c r="I44" s="596"/>
      <c r="J44" s="350">
        <f t="shared" si="5"/>
        <v>0</v>
      </c>
      <c r="K44" s="543">
        <f t="shared" si="6"/>
        <v>0</v>
      </c>
      <c r="L44" s="618"/>
    </row>
    <row r="45" spans="1:12" ht="13.5">
      <c r="A45" s="53"/>
      <c r="B45" s="53"/>
      <c r="C45" s="53"/>
      <c r="E45" s="298" t="s">
        <v>90</v>
      </c>
      <c r="F45" s="352">
        <f>'2-1'!I23</f>
        <v>0</v>
      </c>
      <c r="G45" s="348">
        <f t="shared" si="3"/>
        <v>0</v>
      </c>
      <c r="H45" s="540">
        <f t="shared" si="4"/>
        <v>0</v>
      </c>
      <c r="I45" s="596"/>
      <c r="J45" s="350">
        <f t="shared" si="5"/>
        <v>0</v>
      </c>
      <c r="K45" s="543">
        <f t="shared" si="6"/>
        <v>0</v>
      </c>
      <c r="L45" s="618"/>
    </row>
    <row r="46" spans="1:12" ht="14.25" thickBot="1">
      <c r="A46" s="53"/>
      <c r="B46" s="53"/>
      <c r="C46" s="53"/>
      <c r="E46" s="298" t="s">
        <v>138</v>
      </c>
      <c r="F46" s="399">
        <f>'2-1'!J23</f>
        <v>12100</v>
      </c>
      <c r="G46" s="348">
        <f t="shared" si="3"/>
        <v>0</v>
      </c>
      <c r="H46" s="638">
        <f t="shared" si="4"/>
        <v>0</v>
      </c>
      <c r="I46" s="639"/>
      <c r="J46" s="350">
        <f t="shared" si="5"/>
        <v>0</v>
      </c>
      <c r="K46" s="614">
        <f t="shared" si="6"/>
        <v>12100</v>
      </c>
      <c r="L46" s="615"/>
    </row>
    <row r="47" spans="1:12" ht="15" thickBot="1" thickTop="1">
      <c r="A47" s="53"/>
      <c r="B47" s="53"/>
      <c r="C47" s="53"/>
      <c r="E47" s="400" t="s">
        <v>15</v>
      </c>
      <c r="F47" s="355">
        <f>SUM(F38:F46)</f>
        <v>889510</v>
      </c>
      <c r="G47" s="355">
        <f>SUM(G38:G46)</f>
        <v>0</v>
      </c>
      <c r="H47" s="637">
        <f>SUM(H38:I46)</f>
        <v>0</v>
      </c>
      <c r="I47" s="632"/>
      <c r="J47" s="356">
        <f>SUM(J38:J46)</f>
        <v>0</v>
      </c>
      <c r="K47" s="611">
        <f>SUM(K38:L46)</f>
        <v>889510</v>
      </c>
      <c r="L47" s="61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9" operator="equal" stopIfTrue="1">
      <formula>0</formula>
    </cfRule>
  </conditionalFormatting>
  <conditionalFormatting sqref="E4:K18 J21:J35">
    <cfRule type="cellIs" priority="5" dxfId="29" operator="equal" stopIfTrue="1">
      <formula>0</formula>
    </cfRule>
  </conditionalFormatting>
  <conditionalFormatting sqref="B2:C2">
    <cfRule type="cellIs" priority="2" dxfId="29" operator="equal" stopIfTrue="1">
      <formula>0</formula>
    </cfRule>
  </conditionalFormatting>
  <conditionalFormatting sqref="L4:L18">
    <cfRule type="cellIs" priority="1" dxfId="29"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3"/>
  <sheetViews>
    <sheetView showZeros="0" view="pageBreakPreview" zoomScaleSheetLayoutView="100" workbookViewId="0" topLeftCell="A1">
      <pane xSplit="4" ySplit="3" topLeftCell="E4" activePane="bottomRight" state="frozen"/>
      <selection pane="topLeft" activeCell="D21" sqref="D21:E21"/>
      <selection pane="topRight" activeCell="D21" sqref="D21:E21"/>
      <selection pane="bottomLeft" activeCell="D21" sqref="D21:E21"/>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59" t="s">
        <v>143</v>
      </c>
      <c r="G2" s="557"/>
      <c r="H2" s="557"/>
      <c r="I2" s="557"/>
      <c r="J2" s="560"/>
      <c r="K2" s="556" t="s">
        <v>115</v>
      </c>
      <c r="L2" s="557"/>
      <c r="M2" s="557"/>
      <c r="N2" s="557"/>
      <c r="O2" s="558"/>
      <c r="P2" s="13"/>
    </row>
    <row r="3" spans="1:21" ht="24" customHeight="1">
      <c r="A3" s="423" t="s">
        <v>141</v>
      </c>
      <c r="B3" s="295" t="s">
        <v>142</v>
      </c>
      <c r="C3" s="60" t="s">
        <v>144</v>
      </c>
      <c r="D3" s="96" t="s">
        <v>161</v>
      </c>
      <c r="E3" s="96" t="s">
        <v>0</v>
      </c>
      <c r="F3" s="96" t="s">
        <v>197</v>
      </c>
      <c r="G3" s="96" t="s">
        <v>91</v>
      </c>
      <c r="H3" s="475" t="s">
        <v>245</v>
      </c>
      <c r="I3" s="96" t="s">
        <v>92</v>
      </c>
      <c r="J3" s="96" t="s">
        <v>93</v>
      </c>
      <c r="K3" s="384" t="s">
        <v>199</v>
      </c>
      <c r="L3" s="385" t="s">
        <v>91</v>
      </c>
      <c r="M3" s="475" t="s">
        <v>245</v>
      </c>
      <c r="N3" s="385" t="s">
        <v>92</v>
      </c>
      <c r="O3" s="386" t="s">
        <v>93</v>
      </c>
      <c r="P3" s="228" t="s">
        <v>111</v>
      </c>
      <c r="Q3" s="296" t="s">
        <v>107</v>
      </c>
      <c r="R3" s="62" t="s">
        <v>148</v>
      </c>
      <c r="S3" s="61" t="s">
        <v>149</v>
      </c>
      <c r="T3" s="61" t="s">
        <v>150</v>
      </c>
      <c r="U3" s="61" t="s">
        <v>151</v>
      </c>
    </row>
    <row r="4" spans="1:21" ht="30" customHeight="1">
      <c r="A4" s="363">
        <f>'1-2'!A4</f>
        <v>1</v>
      </c>
      <c r="B4" s="364" t="str">
        <f>'1-2'!B4</f>
        <v>1-(2)</v>
      </c>
      <c r="C4" s="365" t="str">
        <f>'1-2'!C4</f>
        <v>学習意欲の向上、学習内容の深化</v>
      </c>
      <c r="D4" s="244">
        <v>1</v>
      </c>
      <c r="E4" s="303" t="str">
        <f>'2-2'!E4</f>
        <v>委託料</v>
      </c>
      <c r="F4" s="303" t="str">
        <f>'2-2'!F4</f>
        <v>授業アンケート集計発送費</v>
      </c>
      <c r="G4" s="304">
        <f>'2-2'!G4</f>
        <v>49360</v>
      </c>
      <c r="H4" s="305">
        <f>'2-2'!H4</f>
        <v>1</v>
      </c>
      <c r="I4" s="305">
        <f>'2-2'!I4</f>
        <v>1</v>
      </c>
      <c r="J4" s="366">
        <f>'2-2'!J4</f>
        <v>49360</v>
      </c>
      <c r="K4" s="367" t="str">
        <f>'2-2'!K4</f>
        <v>授業アンケート集計発送費</v>
      </c>
      <c r="L4" s="304">
        <f>'2-2'!L4</f>
        <v>48860</v>
      </c>
      <c r="M4" s="305">
        <f>'2-2'!M4</f>
        <v>1</v>
      </c>
      <c r="N4" s="305">
        <f>'2-2'!N4</f>
        <v>0</v>
      </c>
      <c r="O4" s="368">
        <f>L4*M4*N4</f>
        <v>0</v>
      </c>
      <c r="P4" s="369">
        <f>'2-2'!P4</f>
        <v>0</v>
      </c>
      <c r="Q4" s="370" t="str">
        <f>'2-2'!Q4</f>
        <v>詳細は様式２－３のとおり</v>
      </c>
      <c r="R4" s="25">
        <f>IF(AND(ISNA(MATCH($D4,'随時②-2'!$D$4:$D$18,0)),ISNA(MATCH($D4,'随時③-2'!$D$4:$D$18,0))),0,1)</f>
        <v>0</v>
      </c>
      <c r="S4" s="63">
        <f aca="true" t="shared" si="0" ref="S4:S23">IF(P4="◎",J4,"")</f>
      </c>
      <c r="T4" s="63">
        <f aca="true" t="shared" si="1" ref="T4:T23">IF(P4="◎",O4,"")</f>
      </c>
      <c r="U4" s="5">
        <f aca="true" t="shared" si="2" ref="U4:U23">IF($E4=0,"",VLOOKUP($E4,$V$5:$X$10,2))</f>
        <v>6</v>
      </c>
    </row>
    <row r="5" spans="1:23" ht="30" customHeight="1">
      <c r="A5" s="371">
        <f>'1-2'!A5</f>
        <v>0</v>
      </c>
      <c r="B5" s="372">
        <f>'1-2'!B5</f>
        <v>0</v>
      </c>
      <c r="C5" s="373">
        <f>'1-2'!C5</f>
        <v>0</v>
      </c>
      <c r="D5" s="255">
        <v>2</v>
      </c>
      <c r="E5" s="315" t="str">
        <f>'2-2'!E5</f>
        <v>旅費</v>
      </c>
      <c r="F5" s="316" t="str">
        <f>'2-2'!F5</f>
        <v>アクティブラーニング研修旅費</v>
      </c>
      <c r="G5" s="225">
        <f>'2-2'!G5</f>
        <v>30000</v>
      </c>
      <c r="H5" s="317">
        <f>'2-2'!H5</f>
        <v>1</v>
      </c>
      <c r="I5" s="317">
        <f>'2-2'!I5</f>
        <v>1</v>
      </c>
      <c r="J5" s="374">
        <f>'2-2'!J5</f>
        <v>30000</v>
      </c>
      <c r="K5" s="375" t="str">
        <f>'2-2'!K5</f>
        <v>アクティブラーニング研修旅費</v>
      </c>
      <c r="L5" s="225">
        <f>'2-2'!L5</f>
        <v>15020</v>
      </c>
      <c r="M5" s="317">
        <f>'2-2'!M5</f>
        <v>1</v>
      </c>
      <c r="N5" s="317">
        <f>'2-2'!N5</f>
        <v>1</v>
      </c>
      <c r="O5" s="343">
        <f>L5*M5*N5</f>
        <v>15020</v>
      </c>
      <c r="P5" s="376">
        <f>'2-2'!P5</f>
        <v>0</v>
      </c>
      <c r="Q5" s="377">
        <f>'2-2'!Q5</f>
        <v>0</v>
      </c>
      <c r="R5" s="25">
        <f>IF(AND(ISNA(MATCH($D5,'随時②-2'!$D$4:$D$18,0)),ISNA(MATCH($D5,'随時③-2'!$D$4:$D$18,0))),0,1)</f>
        <v>0</v>
      </c>
      <c r="S5" s="63">
        <f t="shared" si="0"/>
      </c>
      <c r="T5" s="63">
        <f t="shared" si="1"/>
      </c>
      <c r="U5" s="5">
        <f t="shared" si="2"/>
        <v>2</v>
      </c>
      <c r="V5" s="5" t="s">
        <v>152</v>
      </c>
      <c r="W5" s="5">
        <v>6</v>
      </c>
    </row>
    <row r="6" spans="1:23" ht="30" customHeight="1">
      <c r="A6" s="371">
        <f>'1-2'!A7</f>
        <v>0</v>
      </c>
      <c r="B6" s="372" t="str">
        <f>'1-2'!B7</f>
        <v>2-(1)</v>
      </c>
      <c r="C6" s="373" t="str">
        <f>'1-2'!C7</f>
        <v>キャリア教育の更なる充実</v>
      </c>
      <c r="D6" s="255">
        <v>4</v>
      </c>
      <c r="E6" s="315" t="str">
        <f>'2-2'!E7</f>
        <v>旅費</v>
      </c>
      <c r="F6" s="316" t="str">
        <f>'2-2'!F7</f>
        <v>企業訪問旅費</v>
      </c>
      <c r="G6" s="225">
        <f>'2-2'!G7</f>
        <v>400</v>
      </c>
      <c r="H6" s="317">
        <f>'2-2'!H7</f>
        <v>50</v>
      </c>
      <c r="I6" s="317">
        <f>'2-2'!I7</f>
        <v>1</v>
      </c>
      <c r="J6" s="374">
        <f>'2-2'!J7</f>
        <v>20000</v>
      </c>
      <c r="K6" s="375" t="str">
        <f>'2-2'!K7</f>
        <v>企業訪問旅費</v>
      </c>
      <c r="L6" s="225">
        <f>'2-2'!L7</f>
        <v>400</v>
      </c>
      <c r="M6" s="317">
        <f>'2-2'!M7</f>
        <v>50</v>
      </c>
      <c r="N6" s="317">
        <f>'2-2'!N7</f>
        <v>0</v>
      </c>
      <c r="O6" s="343">
        <f aca="true" t="shared" si="3" ref="O6:O23">L6*M6*N6</f>
        <v>0</v>
      </c>
      <c r="P6" s="376">
        <f>'2-2'!P7</f>
        <v>0</v>
      </c>
      <c r="Q6" s="377">
        <f>'2-2'!Q7</f>
        <v>0</v>
      </c>
      <c r="R6" s="25">
        <f>IF(AND(ISNA(MATCH($D6,'随時②-2'!$D$4:$D$18,0)),ISNA(MATCH($D6,'随時③-2'!$D$4:$D$18,0))),0,1)</f>
        <v>0</v>
      </c>
      <c r="S6" s="63">
        <f t="shared" si="0"/>
      </c>
      <c r="T6" s="63">
        <f t="shared" si="1"/>
      </c>
      <c r="U6" s="5">
        <f t="shared" si="2"/>
        <v>2</v>
      </c>
      <c r="V6" s="5" t="s">
        <v>154</v>
      </c>
      <c r="W6" s="5">
        <v>7</v>
      </c>
    </row>
    <row r="7" spans="1:23" ht="30" customHeight="1">
      <c r="A7" s="371">
        <f>'1-2'!A8</f>
        <v>0</v>
      </c>
      <c r="B7" s="372">
        <f>'1-2'!B8</f>
        <v>0</v>
      </c>
      <c r="C7" s="373">
        <f>'1-2'!C8</f>
        <v>0</v>
      </c>
      <c r="D7" s="264">
        <v>5</v>
      </c>
      <c r="E7" s="315" t="str">
        <f>'2-2'!E8</f>
        <v>役務費</v>
      </c>
      <c r="F7" s="316" t="str">
        <f>'2-2'!F8</f>
        <v>企業向け学校案内等発送</v>
      </c>
      <c r="G7" s="225">
        <f>'2-2'!G8</f>
        <v>3880</v>
      </c>
      <c r="H7" s="317">
        <f>'2-2'!H8</f>
        <v>1</v>
      </c>
      <c r="I7" s="317">
        <f>'2-2'!I8</f>
        <v>1</v>
      </c>
      <c r="J7" s="374">
        <f>'2-2'!J8</f>
        <v>3880</v>
      </c>
      <c r="K7" s="375" t="str">
        <f>'2-2'!K8</f>
        <v>企業向け学校案内等発送</v>
      </c>
      <c r="L7" s="225">
        <f>'2-2'!L8</f>
        <v>3880</v>
      </c>
      <c r="M7" s="317">
        <f>'2-2'!M8</f>
        <v>1</v>
      </c>
      <c r="N7" s="317">
        <f>'2-2'!N8</f>
        <v>0</v>
      </c>
      <c r="O7" s="343">
        <f t="shared" si="3"/>
        <v>0</v>
      </c>
      <c r="P7" s="376">
        <f>'2-2'!P8</f>
        <v>0</v>
      </c>
      <c r="Q7" s="377">
        <f>'2-2'!Q8</f>
        <v>0</v>
      </c>
      <c r="R7" s="25">
        <f>IF(AND(ISNA(MATCH($D7,'随時②-2'!$D$4:$D$18,0)),ISNA(MATCH($D7,'随時③-2'!$D$4:$D$18,0))),0,1)</f>
        <v>0</v>
      </c>
      <c r="S7" s="63">
        <f t="shared" si="0"/>
      </c>
      <c r="T7" s="63">
        <f t="shared" si="1"/>
      </c>
      <c r="U7" s="5">
        <f t="shared" si="2"/>
        <v>5</v>
      </c>
      <c r="V7" s="5" t="s">
        <v>155</v>
      </c>
      <c r="W7" s="5">
        <v>3</v>
      </c>
    </row>
    <row r="8" spans="1:23" ht="30" customHeight="1">
      <c r="A8" s="371">
        <f>'1-2'!A11</f>
        <v>0</v>
      </c>
      <c r="B8" s="372" t="str">
        <f>'1-2'!B11</f>
        <v>3-(2)</v>
      </c>
      <c r="C8" s="373" t="str">
        <f>'1-2'!C11</f>
        <v>生徒の自己理解を深め、自尊感情、自己</v>
      </c>
      <c r="D8" s="264">
        <v>8</v>
      </c>
      <c r="E8" s="315" t="str">
        <f>'2-2'!E11</f>
        <v>報償費</v>
      </c>
      <c r="F8" s="316" t="str">
        <f>'2-2'!F11</f>
        <v>スクールカウンセラー謝金</v>
      </c>
      <c r="G8" s="225">
        <f>'2-2'!G11</f>
        <v>5000</v>
      </c>
      <c r="H8" s="317">
        <f>'2-2'!H11</f>
        <v>1</v>
      </c>
      <c r="I8" s="317">
        <f>'2-2'!I11</f>
        <v>4</v>
      </c>
      <c r="J8" s="374">
        <f>'2-2'!J11</f>
        <v>20000</v>
      </c>
      <c r="K8" s="375" t="str">
        <f>'2-2'!K11</f>
        <v>スクールカウンセラー謝金</v>
      </c>
      <c r="L8" s="225">
        <f>'2-2'!L11</f>
        <v>5000</v>
      </c>
      <c r="M8" s="317">
        <f>'2-2'!M11</f>
        <v>1</v>
      </c>
      <c r="N8" s="317">
        <f>'2-2'!N11</f>
        <v>0</v>
      </c>
      <c r="O8" s="343">
        <f t="shared" si="3"/>
        <v>0</v>
      </c>
      <c r="P8" s="376">
        <f>'2-2'!P11</f>
        <v>0</v>
      </c>
      <c r="Q8" s="377">
        <f>'2-2'!Q11</f>
        <v>0</v>
      </c>
      <c r="R8" s="25">
        <f>IF(AND(ISNA(MATCH($D8,'随時②-2'!$D$4:$D$18,0)),ISNA(MATCH($D8,'随時③-2'!$D$4:$D$18,0))),0,1)</f>
        <v>0</v>
      </c>
      <c r="S8" s="63">
        <f t="shared" si="0"/>
      </c>
      <c r="T8" s="63">
        <f t="shared" si="1"/>
      </c>
      <c r="U8" s="5">
        <f t="shared" si="2"/>
        <v>1</v>
      </c>
      <c r="V8" s="5" t="s">
        <v>157</v>
      </c>
      <c r="W8" s="5">
        <v>1</v>
      </c>
    </row>
    <row r="9" spans="1:23" ht="30" customHeight="1">
      <c r="A9" s="371">
        <f>'1-2'!A12</f>
        <v>0</v>
      </c>
      <c r="B9" s="372">
        <f>'1-2'!B12</f>
        <v>0</v>
      </c>
      <c r="C9" s="373">
        <f>'1-2'!C12</f>
        <v>0</v>
      </c>
      <c r="D9" s="264">
        <v>9</v>
      </c>
      <c r="E9" s="315" t="str">
        <f>'2-2'!E12</f>
        <v>報償費</v>
      </c>
      <c r="F9" s="316" t="str">
        <f>'2-2'!F12</f>
        <v>スクールソーシャルカウンセラー謝金</v>
      </c>
      <c r="G9" s="225">
        <f>'2-2'!G12</f>
        <v>5000</v>
      </c>
      <c r="H9" s="317">
        <f>'2-2'!H12</f>
        <v>1</v>
      </c>
      <c r="I9" s="317">
        <f>'2-2'!I12</f>
        <v>40</v>
      </c>
      <c r="J9" s="374">
        <f>'2-2'!J12</f>
        <v>200000</v>
      </c>
      <c r="K9" s="375" t="str">
        <f>'2-2'!K12</f>
        <v>スクールソーシャルカウンセラー謝金</v>
      </c>
      <c r="L9" s="225">
        <f>'2-2'!L12</f>
        <v>5000</v>
      </c>
      <c r="M9" s="317">
        <f>'2-2'!M12</f>
        <v>1</v>
      </c>
      <c r="N9" s="317">
        <f>'2-2'!N12</f>
        <v>4</v>
      </c>
      <c r="O9" s="343">
        <f t="shared" si="3"/>
        <v>20000</v>
      </c>
      <c r="P9" s="376">
        <f>'2-2'!P12</f>
        <v>0</v>
      </c>
      <c r="Q9" s="377">
        <f>'2-2'!Q12</f>
        <v>0</v>
      </c>
      <c r="R9" s="25">
        <f>IF(AND(ISNA(MATCH($D9,'随時②-2'!$D$4:$D$18,0)),ISNA(MATCH($D9,'随時③-2'!$D$4:$D$18,0))),0,1)</f>
        <v>0</v>
      </c>
      <c r="S9" s="63">
        <f t="shared" si="0"/>
      </c>
      <c r="T9" s="63">
        <f t="shared" si="1"/>
      </c>
      <c r="U9" s="5">
        <f t="shared" si="2"/>
        <v>1</v>
      </c>
      <c r="V9" s="5" t="s">
        <v>158</v>
      </c>
      <c r="W9" s="5">
        <v>5</v>
      </c>
    </row>
    <row r="10" spans="1:23" ht="30" customHeight="1">
      <c r="A10" s="371">
        <f>'1-2'!A13</f>
        <v>0</v>
      </c>
      <c r="B10" s="372">
        <f>'1-2'!B13</f>
        <v>0</v>
      </c>
      <c r="C10" s="373">
        <f>'1-2'!C13</f>
        <v>0</v>
      </c>
      <c r="D10" s="274">
        <v>10</v>
      </c>
      <c r="E10" s="315" t="str">
        <f>'2-2'!E13</f>
        <v>報償費</v>
      </c>
      <c r="F10" s="316" t="str">
        <f>'2-2'!F13</f>
        <v>職員研修講師謝金</v>
      </c>
      <c r="G10" s="225">
        <f>'2-2'!G13</f>
        <v>20000</v>
      </c>
      <c r="H10" s="317">
        <f>'2-2'!H13</f>
        <v>1</v>
      </c>
      <c r="I10" s="317">
        <f>'2-2'!I13</f>
        <v>1</v>
      </c>
      <c r="J10" s="374">
        <f>'2-2'!J13</f>
        <v>20000</v>
      </c>
      <c r="K10" s="375" t="str">
        <f>'2-2'!K13</f>
        <v>職員研修講師謝金</v>
      </c>
      <c r="L10" s="225">
        <f>'2-2'!L13</f>
        <v>5000</v>
      </c>
      <c r="M10" s="317">
        <f>'2-2'!M13</f>
        <v>4</v>
      </c>
      <c r="N10" s="317">
        <f>'2-2'!N13</f>
        <v>1</v>
      </c>
      <c r="O10" s="343">
        <f t="shared" si="3"/>
        <v>20000</v>
      </c>
      <c r="P10" s="376">
        <f>'2-2'!P13</f>
        <v>0</v>
      </c>
      <c r="Q10" s="377">
        <f>'2-2'!Q13</f>
        <v>0</v>
      </c>
      <c r="R10" s="25">
        <f>IF(AND(ISNA(MATCH($D10,'随時②-2'!$D$4:$D$18,0)),ISNA(MATCH($D10,'随時③-2'!$D$4:$D$18,0))),0,1)</f>
        <v>0</v>
      </c>
      <c r="S10" s="63">
        <f t="shared" si="0"/>
      </c>
      <c r="T10" s="63">
        <f t="shared" si="1"/>
      </c>
      <c r="U10" s="5">
        <f t="shared" si="2"/>
        <v>1</v>
      </c>
      <c r="V10" s="5" t="s">
        <v>159</v>
      </c>
      <c r="W10" s="5">
        <v>2</v>
      </c>
    </row>
    <row r="11" spans="1:21" ht="30" customHeight="1">
      <c r="A11" s="371">
        <f>'1-2'!A14</f>
        <v>0</v>
      </c>
      <c r="B11" s="372">
        <f>'1-2'!B14</f>
        <v>0</v>
      </c>
      <c r="C11" s="373">
        <f>'1-2'!C14</f>
        <v>0</v>
      </c>
      <c r="D11" s="255">
        <v>11</v>
      </c>
      <c r="E11" s="315" t="str">
        <f>'2-2'!E14</f>
        <v>報償費</v>
      </c>
      <c r="F11" s="316" t="str">
        <f>'2-2'!F14</f>
        <v>就職コーディネーター謝金</v>
      </c>
      <c r="G11" s="225">
        <f>'2-2'!G14</f>
        <v>5000</v>
      </c>
      <c r="H11" s="317">
        <f>'2-2'!H14</f>
        <v>1</v>
      </c>
      <c r="I11" s="317">
        <f>'2-2'!I14</f>
        <v>40</v>
      </c>
      <c r="J11" s="374">
        <f>'2-2'!J14</f>
        <v>200000</v>
      </c>
      <c r="K11" s="375" t="str">
        <f>'2-2'!K14</f>
        <v>就職コーディネーター謝金</v>
      </c>
      <c r="L11" s="225">
        <f>'2-2'!L14</f>
        <v>2000</v>
      </c>
      <c r="M11" s="317">
        <f>'2-2'!M14</f>
        <v>1</v>
      </c>
      <c r="N11" s="317">
        <f>'2-2'!N14</f>
        <v>74</v>
      </c>
      <c r="O11" s="343">
        <f t="shared" si="3"/>
        <v>148000</v>
      </c>
      <c r="P11" s="376">
        <f>'2-2'!P14</f>
        <v>0</v>
      </c>
      <c r="Q11" s="377">
        <f>'2-2'!Q14</f>
        <v>0</v>
      </c>
      <c r="R11" s="25">
        <f>IF(AND(ISNA(MATCH($D11,'随時②-2'!$D$4:$D$18,0)),ISNA(MATCH($D11,'随時③-2'!$D$4:$D$18,0))),0,1)</f>
        <v>0</v>
      </c>
      <c r="S11" s="63">
        <f t="shared" si="0"/>
      </c>
      <c r="T11" s="63">
        <f t="shared" si="1"/>
      </c>
      <c r="U11" s="5">
        <f t="shared" si="2"/>
        <v>1</v>
      </c>
    </row>
    <row r="12" spans="1:21" ht="30" customHeight="1">
      <c r="A12" s="371">
        <f>'1-2'!A15</f>
        <v>0</v>
      </c>
      <c r="B12" s="372">
        <f>'1-2'!B15</f>
        <v>0</v>
      </c>
      <c r="C12" s="373">
        <f>'1-2'!C15</f>
        <v>0</v>
      </c>
      <c r="D12" s="255">
        <v>12</v>
      </c>
      <c r="E12" s="315" t="str">
        <f>'2-2'!E15</f>
        <v>旅費</v>
      </c>
      <c r="F12" s="316" t="str">
        <f>'2-2'!F15</f>
        <v>職員研修講師旅費</v>
      </c>
      <c r="G12" s="225">
        <f>'2-2'!G15</f>
        <v>7000</v>
      </c>
      <c r="H12" s="317">
        <f>'2-2'!H15</f>
        <v>1</v>
      </c>
      <c r="I12" s="317">
        <f>'2-2'!I15</f>
        <v>1</v>
      </c>
      <c r="J12" s="374">
        <f>'2-2'!J15</f>
        <v>7000</v>
      </c>
      <c r="K12" s="375" t="str">
        <f>'2-2'!K15</f>
        <v>職員研修講師旅費</v>
      </c>
      <c r="L12" s="225">
        <f>'2-2'!L15</f>
        <v>5920</v>
      </c>
      <c r="M12" s="317">
        <f>'2-2'!M15</f>
        <v>1</v>
      </c>
      <c r="N12" s="317">
        <f>'2-2'!N15</f>
        <v>1</v>
      </c>
      <c r="O12" s="343">
        <f t="shared" si="3"/>
        <v>5920</v>
      </c>
      <c r="P12" s="376">
        <f>'2-2'!P15</f>
        <v>0</v>
      </c>
      <c r="Q12" s="377">
        <f>'2-2'!Q15</f>
        <v>0</v>
      </c>
      <c r="R12" s="25">
        <f>IF(AND(ISNA(MATCH($D12,'随時②-2'!$D$4:$D$18,0)),ISNA(MATCH($D12,'随時③-2'!$D$4:$D$18,0))),0,1)</f>
        <v>0</v>
      </c>
      <c r="S12" s="63">
        <f t="shared" si="0"/>
      </c>
      <c r="T12" s="63">
        <f t="shared" si="1"/>
      </c>
      <c r="U12" s="5">
        <f t="shared" si="2"/>
        <v>2</v>
      </c>
    </row>
    <row r="13" spans="1:21" ht="30" customHeight="1">
      <c r="A13" s="371">
        <f>'1-2'!A16</f>
        <v>0</v>
      </c>
      <c r="B13" s="372">
        <f>'1-2'!B16</f>
        <v>0</v>
      </c>
      <c r="C13" s="373">
        <f>'1-2'!C16</f>
        <v>0</v>
      </c>
      <c r="D13" s="255">
        <v>13</v>
      </c>
      <c r="E13" s="315" t="str">
        <f>'2-2'!E16</f>
        <v>消耗需用費</v>
      </c>
      <c r="F13" s="316" t="str">
        <f>'2-2'!F16</f>
        <v>図書等消耗品</v>
      </c>
      <c r="G13" s="225">
        <f>'2-2'!G16</f>
        <v>5000</v>
      </c>
      <c r="H13" s="317">
        <f>'2-2'!H16</f>
        <v>1</v>
      </c>
      <c r="I13" s="317">
        <f>'2-2'!I16</f>
        <v>1</v>
      </c>
      <c r="J13" s="374">
        <f>'2-2'!J16</f>
        <v>5000</v>
      </c>
      <c r="K13" s="375" t="str">
        <f>'2-2'!K16</f>
        <v>図書等消耗品</v>
      </c>
      <c r="L13" s="225">
        <f>'2-2'!L16</f>
        <v>5000</v>
      </c>
      <c r="M13" s="317">
        <f>'2-2'!M16</f>
        <v>1</v>
      </c>
      <c r="N13" s="317">
        <f>'2-2'!N16</f>
        <v>0</v>
      </c>
      <c r="O13" s="343">
        <f t="shared" si="3"/>
        <v>0</v>
      </c>
      <c r="P13" s="376">
        <f>'2-2'!P16</f>
        <v>0</v>
      </c>
      <c r="Q13" s="377">
        <f>'2-2'!Q16</f>
        <v>0</v>
      </c>
      <c r="R13" s="25">
        <f>IF(AND(ISNA(MATCH($D13,'随時②-2'!$D$4:$D$18,0)),ISNA(MATCH($D13,'随時③-2'!$D$4:$D$18,0))),0,1)</f>
        <v>0</v>
      </c>
      <c r="S13" s="63">
        <f t="shared" si="0"/>
      </c>
      <c r="T13" s="63">
        <f t="shared" si="1"/>
      </c>
      <c r="U13" s="5">
        <f t="shared" si="2"/>
        <v>7</v>
      </c>
    </row>
    <row r="14" spans="1:21" ht="30" customHeight="1">
      <c r="A14" s="371">
        <f>'1-2'!A19</f>
        <v>0</v>
      </c>
      <c r="B14" s="372" t="str">
        <f>'1-2'!B19</f>
        <v>4-(1)</v>
      </c>
      <c r="C14" s="373" t="str">
        <f>'1-2'!C19</f>
        <v>教職員の力量と本校の信頼度アップ</v>
      </c>
      <c r="D14" s="255">
        <v>16</v>
      </c>
      <c r="E14" s="315" t="str">
        <f>'2-2'!E19</f>
        <v>旅費</v>
      </c>
      <c r="F14" s="316" t="str">
        <f>'2-2'!F19</f>
        <v>全国校長協会総会</v>
      </c>
      <c r="G14" s="225">
        <f>'2-2'!G19</f>
        <v>55000</v>
      </c>
      <c r="H14" s="317">
        <f>'2-2'!H19</f>
        <v>1</v>
      </c>
      <c r="I14" s="317">
        <f>'2-2'!I19</f>
        <v>1</v>
      </c>
      <c r="J14" s="374">
        <f>'2-2'!J19</f>
        <v>55000</v>
      </c>
      <c r="K14" s="375" t="str">
        <f>'2-2'!K19</f>
        <v>全国校長協会総会</v>
      </c>
      <c r="L14" s="225">
        <f>'2-2'!L19</f>
        <v>48720</v>
      </c>
      <c r="M14" s="317">
        <f>'2-2'!M19</f>
        <v>1</v>
      </c>
      <c r="N14" s="317">
        <f>'2-2'!N19</f>
        <v>1</v>
      </c>
      <c r="O14" s="343">
        <f t="shared" si="3"/>
        <v>48720</v>
      </c>
      <c r="P14" s="376">
        <f>'2-2'!P19</f>
        <v>0</v>
      </c>
      <c r="Q14" s="377">
        <f>'2-2'!Q19</f>
        <v>0</v>
      </c>
      <c r="R14" s="25">
        <f>IF(AND(ISNA(MATCH($D14,'随時②-2'!$D$4:$D$18,0)),ISNA(MATCH($D14,'随時③-2'!$D$4:$D$18,0))),0,1)</f>
        <v>0</v>
      </c>
      <c r="S14" s="63">
        <f t="shared" si="0"/>
      </c>
      <c r="T14" s="63">
        <f t="shared" si="1"/>
      </c>
      <c r="U14" s="5">
        <f t="shared" si="2"/>
        <v>2</v>
      </c>
    </row>
    <row r="15" spans="1:21" ht="30" customHeight="1">
      <c r="A15" s="371">
        <f>'1-2'!A20</f>
        <v>0</v>
      </c>
      <c r="B15" s="372">
        <f>'1-2'!B20</f>
        <v>0</v>
      </c>
      <c r="C15" s="373">
        <f>'1-2'!C20</f>
        <v>0</v>
      </c>
      <c r="D15" s="255">
        <v>17</v>
      </c>
      <c r="E15" s="315" t="str">
        <f>'2-2'!E20</f>
        <v>旅費</v>
      </c>
      <c r="F15" s="316" t="str">
        <f>'2-2'!F20</f>
        <v>中学校訪問旅費</v>
      </c>
      <c r="G15" s="225">
        <f>'2-2'!G20</f>
        <v>400</v>
      </c>
      <c r="H15" s="317">
        <f>'2-2'!H20</f>
        <v>50</v>
      </c>
      <c r="I15" s="317">
        <f>'2-2'!I20</f>
        <v>1</v>
      </c>
      <c r="J15" s="374">
        <f>'2-2'!J20</f>
        <v>20000</v>
      </c>
      <c r="K15" s="375" t="str">
        <f>'2-2'!K20</f>
        <v>中学校訪問旅費</v>
      </c>
      <c r="L15" s="225">
        <f>'2-2'!L20</f>
        <v>400</v>
      </c>
      <c r="M15" s="317">
        <f>'2-2'!M20</f>
        <v>50</v>
      </c>
      <c r="N15" s="317">
        <f>'2-2'!N20</f>
        <v>0</v>
      </c>
      <c r="O15" s="343">
        <f t="shared" si="3"/>
        <v>0</v>
      </c>
      <c r="P15" s="376">
        <f>'2-2'!P20</f>
        <v>0</v>
      </c>
      <c r="Q15" s="377">
        <f>'2-2'!Q20</f>
        <v>0</v>
      </c>
      <c r="R15" s="25">
        <f>IF(AND(ISNA(MATCH($D15,'随時②-2'!$D$4:$D$18,0)),ISNA(MATCH($D15,'随時③-2'!$D$4:$D$18,0))),0,1)</f>
        <v>0</v>
      </c>
      <c r="S15" s="63">
        <f t="shared" si="0"/>
      </c>
      <c r="T15" s="63">
        <f t="shared" si="1"/>
      </c>
      <c r="U15" s="5">
        <f t="shared" si="2"/>
        <v>2</v>
      </c>
    </row>
    <row r="16" spans="1:21" ht="30" customHeight="1">
      <c r="A16" s="371">
        <f>'1-2'!A21</f>
        <v>0</v>
      </c>
      <c r="B16" s="372">
        <f>'1-2'!B21</f>
        <v>0</v>
      </c>
      <c r="C16" s="373">
        <f>'1-2'!C21</f>
        <v>0</v>
      </c>
      <c r="D16" s="255">
        <v>18</v>
      </c>
      <c r="E16" s="315" t="str">
        <f>'2-2'!E21</f>
        <v>消耗需用費</v>
      </c>
      <c r="F16" s="316" t="str">
        <f>'2-2'!F21</f>
        <v>全国校長協会総会資料</v>
      </c>
      <c r="G16" s="225">
        <f>'2-2'!G21</f>
        <v>3000</v>
      </c>
      <c r="H16" s="317">
        <f>'2-2'!H21</f>
        <v>1</v>
      </c>
      <c r="I16" s="317">
        <f>'2-2'!I21</f>
        <v>1</v>
      </c>
      <c r="J16" s="374">
        <f>'2-2'!J21</f>
        <v>3000</v>
      </c>
      <c r="K16" s="375" t="str">
        <f>'2-2'!K21</f>
        <v>全国校長協会総会資料</v>
      </c>
      <c r="L16" s="225">
        <f>'2-2'!L21</f>
        <v>3000</v>
      </c>
      <c r="M16" s="317">
        <f>'2-2'!M21</f>
        <v>1</v>
      </c>
      <c r="N16" s="317">
        <f>'2-2'!N21</f>
        <v>1</v>
      </c>
      <c r="O16" s="343">
        <f t="shared" si="3"/>
        <v>3000</v>
      </c>
      <c r="P16" s="376">
        <f>'2-2'!P21</f>
        <v>0</v>
      </c>
      <c r="Q16" s="377">
        <f>'2-2'!Q21</f>
        <v>0</v>
      </c>
      <c r="R16" s="25">
        <f>IF(AND(ISNA(MATCH($D16,'随時②-2'!$D$4:$D$18,0)),ISNA(MATCH($D16,'随時③-2'!$D$4:$D$18,0))),0,1)</f>
        <v>0</v>
      </c>
      <c r="S16" s="63">
        <f t="shared" si="0"/>
      </c>
      <c r="T16" s="63">
        <f t="shared" si="1"/>
      </c>
      <c r="U16" s="5">
        <f t="shared" si="2"/>
        <v>7</v>
      </c>
    </row>
    <row r="17" spans="1:21" ht="30" customHeight="1">
      <c r="A17" s="371">
        <f>'1-2'!A22</f>
        <v>0</v>
      </c>
      <c r="B17" s="372">
        <f>'1-2'!B22</f>
        <v>0</v>
      </c>
      <c r="C17" s="373">
        <f>'1-2'!C22</f>
        <v>0</v>
      </c>
      <c r="D17" s="255">
        <v>19</v>
      </c>
      <c r="E17" s="315" t="str">
        <f>'2-2'!E22</f>
        <v>消耗需用費</v>
      </c>
      <c r="F17" s="316" t="str">
        <f>'2-2'!F22</f>
        <v>学校案内、ポスター作製費</v>
      </c>
      <c r="G17" s="225">
        <f>'2-2'!G22</f>
        <v>42000</v>
      </c>
      <c r="H17" s="317">
        <f>'2-2'!H22</f>
        <v>1</v>
      </c>
      <c r="I17" s="317">
        <f>'2-2'!I22</f>
        <v>1</v>
      </c>
      <c r="J17" s="374">
        <f>'2-2'!J22</f>
        <v>42000</v>
      </c>
      <c r="K17" s="375" t="str">
        <f>'2-2'!K22</f>
        <v>学校案内、ポスター作製費</v>
      </c>
      <c r="L17" s="225">
        <f>'2-2'!L22</f>
        <v>42000</v>
      </c>
      <c r="M17" s="317">
        <f>'2-2'!M22</f>
        <v>1</v>
      </c>
      <c r="N17" s="317">
        <f>'2-2'!N22</f>
        <v>0</v>
      </c>
      <c r="O17" s="343">
        <f t="shared" si="3"/>
        <v>0</v>
      </c>
      <c r="P17" s="376">
        <f>'2-2'!P22</f>
        <v>0</v>
      </c>
      <c r="Q17" s="377">
        <f>'2-2'!Q22</f>
        <v>0</v>
      </c>
      <c r="R17" s="25">
        <f>IF(AND(ISNA(MATCH($D17,'随時②-2'!$D$4:$D$18,0)),ISNA(MATCH($D17,'随時③-2'!$D$4:$D$18,0))),0,1)</f>
        <v>0</v>
      </c>
      <c r="S17" s="63">
        <f t="shared" si="0"/>
      </c>
      <c r="T17" s="63">
        <f t="shared" si="1"/>
      </c>
      <c r="U17" s="5">
        <f t="shared" si="2"/>
        <v>7</v>
      </c>
    </row>
    <row r="18" spans="1:21" ht="30" customHeight="1">
      <c r="A18" s="371">
        <f>'1-2'!A23</f>
        <v>0</v>
      </c>
      <c r="B18" s="372">
        <f>'1-2'!B23</f>
        <v>0</v>
      </c>
      <c r="C18" s="373">
        <f>'1-2'!C23</f>
        <v>0</v>
      </c>
      <c r="D18" s="255">
        <v>20</v>
      </c>
      <c r="E18" s="315" t="str">
        <f>'2-2'!E23</f>
        <v>消耗需用費</v>
      </c>
      <c r="F18" s="316" t="str">
        <f>'2-2'!F23</f>
        <v>広報活動用消耗品</v>
      </c>
      <c r="G18" s="225">
        <f>'2-2'!G23</f>
        <v>50210</v>
      </c>
      <c r="H18" s="317">
        <f>'2-2'!H23</f>
        <v>1</v>
      </c>
      <c r="I18" s="317">
        <f>'2-2'!I23</f>
        <v>1</v>
      </c>
      <c r="J18" s="374">
        <f>'2-2'!J23</f>
        <v>50210</v>
      </c>
      <c r="K18" s="375" t="str">
        <f>'2-2'!K23</f>
        <v>広報活動用消耗品</v>
      </c>
      <c r="L18" s="225">
        <f>'2-2'!L23</f>
        <v>50210</v>
      </c>
      <c r="M18" s="317">
        <f>'2-2'!M23</f>
        <v>1</v>
      </c>
      <c r="N18" s="317">
        <f>'2-2'!N23</f>
        <v>0</v>
      </c>
      <c r="O18" s="343">
        <f t="shared" si="3"/>
        <v>0</v>
      </c>
      <c r="P18" s="376">
        <f>'2-2'!P23</f>
        <v>0</v>
      </c>
      <c r="Q18" s="377">
        <f>'2-2'!Q23</f>
        <v>0</v>
      </c>
      <c r="R18" s="25">
        <f>IF(AND(ISNA(MATCH($D18,'随時②-2'!$D$4:$D$18,0)),ISNA(MATCH($D18,'随時③-2'!$D$4:$D$18,0))),0,1)</f>
        <v>0</v>
      </c>
      <c r="S18" s="63">
        <f t="shared" si="0"/>
      </c>
      <c r="T18" s="63">
        <f t="shared" si="1"/>
      </c>
      <c r="U18" s="5">
        <f t="shared" si="2"/>
        <v>7</v>
      </c>
    </row>
    <row r="19" spans="1:21" ht="30" customHeight="1">
      <c r="A19" s="371">
        <f>'1-2'!A24</f>
        <v>0</v>
      </c>
      <c r="B19" s="372">
        <f>'1-2'!B24</f>
        <v>0</v>
      </c>
      <c r="C19" s="373">
        <f>'1-2'!C24</f>
        <v>0</v>
      </c>
      <c r="D19" s="255">
        <v>21</v>
      </c>
      <c r="E19" s="315" t="str">
        <f>'2-2'!E24</f>
        <v>消耗需用費</v>
      </c>
      <c r="F19" s="316" t="str">
        <f>'2-2'!F24</f>
        <v>学校説明会模擬授業用消耗品</v>
      </c>
      <c r="G19" s="225">
        <f>'2-2'!G24</f>
        <v>50000</v>
      </c>
      <c r="H19" s="317">
        <f>'2-2'!H24</f>
        <v>1</v>
      </c>
      <c r="I19" s="317">
        <f>'2-2'!I24</f>
        <v>1</v>
      </c>
      <c r="J19" s="374">
        <f>'2-2'!J24</f>
        <v>50000</v>
      </c>
      <c r="K19" s="375" t="str">
        <f>'2-2'!K24</f>
        <v>学校説明会模擬授業用消耗品</v>
      </c>
      <c r="L19" s="225">
        <f>'2-2'!L24</f>
        <v>50000</v>
      </c>
      <c r="M19" s="317">
        <f>'2-2'!M24</f>
        <v>1</v>
      </c>
      <c r="N19" s="317">
        <f>'2-2'!N24</f>
        <v>0</v>
      </c>
      <c r="O19" s="343">
        <f t="shared" si="3"/>
        <v>0</v>
      </c>
      <c r="P19" s="376">
        <f>'2-2'!P24</f>
        <v>0</v>
      </c>
      <c r="Q19" s="377">
        <f>'2-2'!Q24</f>
        <v>0</v>
      </c>
      <c r="R19" s="25">
        <f>IF(AND(ISNA(MATCH($D19,'随時②-2'!$D$4:$D$18,0)),ISNA(MATCH($D19,'随時③-2'!$D$4:$D$18,0))),0,1)</f>
        <v>0</v>
      </c>
      <c r="S19" s="63">
        <f t="shared" si="0"/>
      </c>
      <c r="T19" s="63">
        <f t="shared" si="1"/>
      </c>
      <c r="U19" s="5">
        <f t="shared" si="2"/>
        <v>7</v>
      </c>
    </row>
    <row r="20" spans="1:21" ht="63" customHeight="1">
      <c r="A20" s="371">
        <f>'1-2'!A25</f>
        <v>0</v>
      </c>
      <c r="B20" s="372">
        <f>'1-2'!B25</f>
        <v>0</v>
      </c>
      <c r="C20" s="373">
        <f>'1-2'!C25</f>
        <v>0</v>
      </c>
      <c r="D20" s="255">
        <v>22</v>
      </c>
      <c r="E20" s="315" t="str">
        <f>'2-2'!E25</f>
        <v>役務費</v>
      </c>
      <c r="F20" s="316" t="str">
        <f>'2-2'!F25</f>
        <v>学校説明会案内送付費</v>
      </c>
      <c r="G20" s="225">
        <f>'2-2'!G25</f>
        <v>82</v>
      </c>
      <c r="H20" s="317">
        <f>'2-2'!H25</f>
        <v>80</v>
      </c>
      <c r="I20" s="317">
        <f>'2-2'!I25</f>
        <v>1</v>
      </c>
      <c r="J20" s="374">
        <f>'2-2'!J25</f>
        <v>6560</v>
      </c>
      <c r="K20" s="375" t="str">
        <f>'2-2'!K25</f>
        <v>学校説明会案内送付費</v>
      </c>
      <c r="L20" s="225">
        <f>'2-2'!L25</f>
        <v>82</v>
      </c>
      <c r="M20" s="317">
        <f>'2-2'!M25</f>
        <v>80</v>
      </c>
      <c r="N20" s="317">
        <f>'2-2'!N25</f>
        <v>0</v>
      </c>
      <c r="O20" s="343">
        <f t="shared" si="3"/>
        <v>0</v>
      </c>
      <c r="P20" s="376">
        <f>'2-2'!P25</f>
        <v>0</v>
      </c>
      <c r="Q20" s="377">
        <f>'2-2'!Q25</f>
        <v>0</v>
      </c>
      <c r="R20" s="25">
        <f>IF(AND(ISNA(MATCH($D20,'随時②-2'!$D$4:$D$18,0)),ISNA(MATCH($D20,'随時③-2'!$D$4:$D$18,0))),0,1)</f>
        <v>0</v>
      </c>
      <c r="S20" s="63">
        <f t="shared" si="0"/>
      </c>
      <c r="T20" s="63">
        <f t="shared" si="1"/>
      </c>
      <c r="U20" s="5">
        <f t="shared" si="2"/>
        <v>5</v>
      </c>
    </row>
    <row r="21" spans="1:21" ht="30" customHeight="1">
      <c r="A21" s="371">
        <f>'1-2'!A26</f>
        <v>0</v>
      </c>
      <c r="B21" s="372">
        <f>'1-2'!B26</f>
        <v>0</v>
      </c>
      <c r="C21" s="373">
        <f>'1-2'!C26</f>
        <v>0</v>
      </c>
      <c r="D21" s="255">
        <v>23</v>
      </c>
      <c r="E21" s="315" t="str">
        <f>'2-2'!E26</f>
        <v>役務費</v>
      </c>
      <c r="F21" s="316" t="str">
        <f>'2-2'!F26</f>
        <v>保護者懇談会等案内送付費</v>
      </c>
      <c r="G21" s="225">
        <f>'2-2'!G26</f>
        <v>82</v>
      </c>
      <c r="H21" s="317">
        <f>'2-2'!H26</f>
        <v>80</v>
      </c>
      <c r="I21" s="317">
        <f>'2-2'!I26</f>
        <v>1</v>
      </c>
      <c r="J21" s="374">
        <f>'2-2'!J26</f>
        <v>6560</v>
      </c>
      <c r="K21" s="375" t="str">
        <f>'2-2'!K26</f>
        <v>保護者懇談会等案内送付費</v>
      </c>
      <c r="L21" s="225">
        <f>'2-2'!L26</f>
        <v>82</v>
      </c>
      <c r="M21" s="317">
        <f>'2-2'!M26</f>
        <v>80</v>
      </c>
      <c r="N21" s="317">
        <f>'2-2'!N26</f>
        <v>0</v>
      </c>
      <c r="O21" s="343">
        <f t="shared" si="3"/>
        <v>0</v>
      </c>
      <c r="P21" s="376">
        <f>'2-2'!P26</f>
        <v>0</v>
      </c>
      <c r="Q21" s="377">
        <f>'2-2'!Q26</f>
        <v>0</v>
      </c>
      <c r="R21" s="25">
        <f>IF(AND(ISNA(MATCH($D21,'随時②-2'!$D$4:$D$18,0)),ISNA(MATCH($D21,'随時③-2'!$D$4:$D$18,0))),0,1)</f>
        <v>0</v>
      </c>
      <c r="S21" s="63">
        <f t="shared" si="0"/>
      </c>
      <c r="T21" s="63">
        <f t="shared" si="1"/>
      </c>
      <c r="U21" s="5">
        <f t="shared" si="2"/>
        <v>5</v>
      </c>
    </row>
    <row r="22" spans="1:21" ht="63" customHeight="1">
      <c r="A22" s="371">
        <f>'1-2'!A27</f>
        <v>0</v>
      </c>
      <c r="B22" s="372">
        <f>'1-2'!B27</f>
        <v>0</v>
      </c>
      <c r="C22" s="373">
        <f>'1-2'!C27</f>
        <v>0</v>
      </c>
      <c r="D22" s="255">
        <v>24</v>
      </c>
      <c r="E22" s="315" t="str">
        <f>'2-2'!E27</f>
        <v>負担金、補助及び交付金</v>
      </c>
      <c r="F22" s="316" t="str">
        <f>'2-2'!F27</f>
        <v>各種団体負担金</v>
      </c>
      <c r="G22" s="225">
        <f>'2-2'!G27</f>
        <v>49430</v>
      </c>
      <c r="H22" s="317">
        <f>'2-2'!H27</f>
        <v>1</v>
      </c>
      <c r="I22" s="317">
        <f>'2-2'!I27</f>
        <v>1</v>
      </c>
      <c r="J22" s="374">
        <f>'2-2'!J27</f>
        <v>49430</v>
      </c>
      <c r="K22" s="375" t="str">
        <f>'2-2'!K27</f>
        <v>各種団体負担金</v>
      </c>
      <c r="L22" s="225">
        <f>'2-2'!L27</f>
        <v>37830</v>
      </c>
      <c r="M22" s="317">
        <f>'2-2'!M27</f>
        <v>1</v>
      </c>
      <c r="N22" s="317">
        <f>'2-2'!N27</f>
        <v>1</v>
      </c>
      <c r="O22" s="343">
        <f t="shared" si="3"/>
        <v>37830</v>
      </c>
      <c r="P22" s="376">
        <f>'2-2'!P27</f>
        <v>0</v>
      </c>
      <c r="Q22" s="377">
        <f>'2-2'!Q27</f>
        <v>0</v>
      </c>
      <c r="R22" s="25">
        <f>IF(AND(ISNA(MATCH($D22,'随時②-2'!$D$4:$D$18,0)),ISNA(MATCH($D22,'随時③-2'!$D$4:$D$18,0))),0,1)</f>
        <v>0</v>
      </c>
      <c r="S22" s="63">
        <f t="shared" si="0"/>
      </c>
      <c r="T22" s="63">
        <f t="shared" si="1"/>
      </c>
      <c r="U22" s="5">
        <f t="shared" si="2"/>
        <v>3</v>
      </c>
    </row>
    <row r="23" spans="1:21" ht="30" customHeight="1">
      <c r="A23" s="371">
        <f>'1-2'!A28</f>
        <v>0</v>
      </c>
      <c r="B23" s="372">
        <f>'1-2'!B28</f>
        <v>0</v>
      </c>
      <c r="C23" s="373">
        <f>'1-2'!C28</f>
        <v>0</v>
      </c>
      <c r="D23" s="255">
        <v>25</v>
      </c>
      <c r="E23" s="315" t="str">
        <f>'2-2'!E28</f>
        <v>負担金、補助及び交付金</v>
      </c>
      <c r="F23" s="316" t="str">
        <f>'2-2'!F28</f>
        <v>全国校長協会総会参加費</v>
      </c>
      <c r="G23" s="225">
        <f>'2-2'!G28</f>
        <v>2000</v>
      </c>
      <c r="H23" s="317">
        <f>'2-2'!H28</f>
        <v>1</v>
      </c>
      <c r="I23" s="317">
        <f>'2-2'!I28</f>
        <v>1</v>
      </c>
      <c r="J23" s="374">
        <f>'2-2'!J28</f>
        <v>2000</v>
      </c>
      <c r="K23" s="375" t="str">
        <f>'2-2'!K28</f>
        <v>全国校長協会総会参加費</v>
      </c>
      <c r="L23" s="225">
        <f>'2-2'!L28</f>
        <v>2000</v>
      </c>
      <c r="M23" s="317">
        <f>'2-2'!M28</f>
        <v>1</v>
      </c>
      <c r="N23" s="317">
        <f>'2-2'!N28</f>
        <v>1</v>
      </c>
      <c r="O23" s="343">
        <f t="shared" si="3"/>
        <v>2000</v>
      </c>
      <c r="P23" s="376">
        <f>'2-2'!P28</f>
        <v>0</v>
      </c>
      <c r="Q23" s="377">
        <f>'2-2'!Q28</f>
        <v>0</v>
      </c>
      <c r="R23" s="25">
        <f>IF(AND(ISNA(MATCH($D23,'随時②-2'!$D$4:$D$18,0)),ISNA(MATCH($D23,'随時③-2'!$D$4:$D$18,0))),0,1)</f>
        <v>0</v>
      </c>
      <c r="S23" s="63">
        <f t="shared" si="0"/>
      </c>
      <c r="T23" s="63">
        <f t="shared" si="1"/>
      </c>
      <c r="U23" s="5">
        <f t="shared" si="2"/>
        <v>3</v>
      </c>
    </row>
    <row r="24" spans="1:20" ht="30" customHeight="1">
      <c r="A24" s="371">
        <f>'2-4'!A4</f>
        <v>0</v>
      </c>
      <c r="B24" s="372">
        <f>'2-4'!B4</f>
        <v>0</v>
      </c>
      <c r="C24" s="373">
        <f>'2-4'!C4</f>
        <v>0</v>
      </c>
      <c r="D24" s="264">
        <v>301</v>
      </c>
      <c r="E24" s="316" t="str">
        <f>IF($R24=1,"",VLOOKUP($D24,'2-4'!$D$4:$L$103,2))</f>
        <v>負担金、補助及び交付金</v>
      </c>
      <c r="F24" s="316" t="str">
        <f>IF($R24=1,"取消し",VLOOKUP($D24,'2-4'!$D$4:$L$103,3))</f>
        <v>各種団体負担金（会費）</v>
      </c>
      <c r="G24" s="225">
        <f>IF($R24=1,,VLOOKUP($D24,'2-4'!$D$4:$L$103,4))</f>
        <v>12100</v>
      </c>
      <c r="H24" s="317">
        <f>IF($R24=1,,VLOOKUP($D24,'2-4'!$D$4:$L$103,5))</f>
        <v>1</v>
      </c>
      <c r="I24" s="317">
        <f>IF($R24=1,,VLOOKUP($D24,'2-4'!$D$4:$L$103,6))</f>
        <v>1</v>
      </c>
      <c r="J24" s="225">
        <f>IF($R24=1,,VLOOKUP($D24,'2-4'!$D$4:$L$103,7))</f>
        <v>12100</v>
      </c>
      <c r="K24" s="340" t="str">
        <f aca="true" t="shared" si="4" ref="K24:K40">F24</f>
        <v>各種団体負担金（会費）</v>
      </c>
      <c r="L24" s="341">
        <f aca="true" t="shared" si="5" ref="L24:L40">G24</f>
        <v>12100</v>
      </c>
      <c r="M24" s="342">
        <f aca="true" t="shared" si="6" ref="M24:M40">H24</f>
        <v>1</v>
      </c>
      <c r="N24" s="342">
        <f aca="true" t="shared" si="7" ref="N24:N40">I24</f>
        <v>1</v>
      </c>
      <c r="O24" s="343">
        <f>L24*M24*N24</f>
        <v>12100</v>
      </c>
      <c r="P24" s="381">
        <f>IF($R24=1,"",VLOOKUP($D24,'2-4'!$D$4:$L$103,8))</f>
        <v>0</v>
      </c>
      <c r="Q24" s="280" t="s">
        <v>253</v>
      </c>
      <c r="R24" s="25">
        <f>IF(AND(ISNA(MATCH($D24,'随時②-2'!$D$4:$D$18,0)),ISNA(MATCH($D24,'随時③-2'!$D$4:$D$18,0))),0,1)</f>
        <v>0</v>
      </c>
      <c r="S24" s="63">
        <f aca="true" t="shared" si="8" ref="S24:S40">IF(P24="◎",J24,"")</f>
      </c>
      <c r="T24" s="63">
        <f aca="true" t="shared" si="9" ref="T24:T40">IF(P24="◎",O24,"")</f>
      </c>
    </row>
    <row r="25" spans="1:20" ht="30" customHeight="1">
      <c r="A25" s="378">
        <f>'2-4'!A5</f>
        <v>1</v>
      </c>
      <c r="B25" s="379" t="str">
        <f>'2-4'!B5</f>
        <v>1-(2)</v>
      </c>
      <c r="C25" s="380" t="str">
        <f>'2-4'!C5</f>
        <v>学習意欲の向上、学習内容の深化</v>
      </c>
      <c r="D25" s="255">
        <v>302</v>
      </c>
      <c r="E25" s="316" t="str">
        <f>IF($R25=1,"",VLOOKUP($D25,'2-4'!$D$4:$L$103,2))</f>
        <v>委託料</v>
      </c>
      <c r="F25" s="316" t="str">
        <f>IF($R25=1,"取消し",VLOOKUP($D25,'2-4'!$D$4:$L$103,3))</f>
        <v>授業アンケート集計・発送費</v>
      </c>
      <c r="G25" s="225">
        <f>IF($R25=1,,VLOOKUP($D25,'2-4'!$D$4:$L$103,4))</f>
        <v>48860</v>
      </c>
      <c r="H25" s="317">
        <f>IF($R25=1,,VLOOKUP($D25,'2-4'!$D$4:$L$103,5))</f>
        <v>1</v>
      </c>
      <c r="I25" s="317">
        <f>IF($R25=1,,VLOOKUP($D25,'2-4'!$D$4:$L$103,6))</f>
        <v>1</v>
      </c>
      <c r="J25" s="225">
        <f>IF($R25=1,,VLOOKUP($D25,'2-4'!$D$4:$L$103,7))</f>
        <v>48860</v>
      </c>
      <c r="K25" s="319" t="str">
        <f t="shared" si="4"/>
        <v>授業アンケート集計・発送費</v>
      </c>
      <c r="L25" s="320">
        <f t="shared" si="5"/>
        <v>48860</v>
      </c>
      <c r="M25" s="321">
        <f t="shared" si="6"/>
        <v>1</v>
      </c>
      <c r="N25" s="321">
        <f t="shared" si="7"/>
        <v>1</v>
      </c>
      <c r="O25" s="310">
        <f aca="true" t="shared" si="10" ref="O25:O40">L25*M25*N25</f>
        <v>48860</v>
      </c>
      <c r="P25" s="381">
        <f>IF($R25=1,"",VLOOKUP($D25,'2-4'!$D$4:$L$103,8))</f>
        <v>0</v>
      </c>
      <c r="Q25" s="280" t="str">
        <f>IF($R25=1,"",VLOOKUP($D25,'2-4'!$D$4:$L$103,9))</f>
        <v>（様式２－２）NO.1</v>
      </c>
      <c r="R25" s="25">
        <f>IF(AND(ISNA(MATCH($D25,'随時②-2'!$D$4:$D$18,0)),ISNA(MATCH($D25,'随時③-2'!$D$4:$D$18,0))),0,1)</f>
        <v>0</v>
      </c>
      <c r="S25" s="63">
        <f t="shared" si="8"/>
      </c>
      <c r="T25" s="63">
        <f t="shared" si="9"/>
      </c>
    </row>
    <row r="26" spans="1:20" ht="30" customHeight="1">
      <c r="A26" s="378">
        <f>'2-4'!A6</f>
        <v>1</v>
      </c>
      <c r="B26" s="379" t="str">
        <f>'2-4'!B6</f>
        <v>1-(ｲ)-ｲ</v>
      </c>
      <c r="C26" s="380">
        <f>'2-4'!C6</f>
        <v>0</v>
      </c>
      <c r="D26" s="255">
        <v>303</v>
      </c>
      <c r="E26" s="316" t="str">
        <f>IF($R26=1,"",VLOOKUP($D26,'2-4'!$D$4:$L$103,2))</f>
        <v>旅費</v>
      </c>
      <c r="F26" s="316" t="str">
        <f>IF($R26=1,"取消し",VLOOKUP($D26,'2-4'!$D$4:$L$103,3))</f>
        <v>アクティブラーニング研修旅費</v>
      </c>
      <c r="G26" s="225">
        <f>IF($R26=1,,VLOOKUP($D26,'2-4'!$D$4:$L$103,4))</f>
        <v>50000</v>
      </c>
      <c r="H26" s="317">
        <f>IF($R26=1,,VLOOKUP($D26,'2-4'!$D$4:$L$103,5))</f>
        <v>1</v>
      </c>
      <c r="I26" s="317">
        <f>IF($R26=1,,VLOOKUP($D26,'2-4'!$D$4:$L$103,6))</f>
        <v>2</v>
      </c>
      <c r="J26" s="225">
        <f>IF($R26=1,,VLOOKUP($D26,'2-4'!$D$4:$L$103,7))</f>
        <v>100000</v>
      </c>
      <c r="K26" s="319" t="str">
        <f t="shared" si="4"/>
        <v>アクティブラーニング研修旅費</v>
      </c>
      <c r="L26" s="320">
        <f>G26</f>
        <v>50000</v>
      </c>
      <c r="M26" s="321">
        <f t="shared" si="6"/>
        <v>1</v>
      </c>
      <c r="N26" s="321">
        <f t="shared" si="7"/>
        <v>2</v>
      </c>
      <c r="O26" s="310">
        <f t="shared" si="10"/>
        <v>100000</v>
      </c>
      <c r="P26" s="381">
        <f>IF($R26=1,"",VLOOKUP($D26,'2-4'!$D$4:$L$103,8))</f>
        <v>0</v>
      </c>
      <c r="Q26" s="280" t="str">
        <f>IF($R26=1,"",VLOOKUP($D26,'2-4'!$D$4:$L$103,9))</f>
        <v>（様式２－２）NO.2</v>
      </c>
      <c r="R26" s="25">
        <f>IF(AND(ISNA(MATCH($D26,'随時②-2'!$D$4:$D$18,0)),ISNA(MATCH($D26,'随時③-2'!$D$4:$D$18,0))),0,1)</f>
        <v>0</v>
      </c>
      <c r="S26" s="63">
        <f t="shared" si="8"/>
      </c>
      <c r="T26" s="63">
        <f t="shared" si="9"/>
      </c>
    </row>
    <row r="27" spans="1:20" ht="30" customHeight="1">
      <c r="A27" s="378">
        <f>'2-4'!A7</f>
        <v>2</v>
      </c>
      <c r="B27" s="379" t="str">
        <f>'2-4'!B7</f>
        <v>2-(1)</v>
      </c>
      <c r="C27" s="380" t="str">
        <f>'2-4'!C7</f>
        <v>キャリア教育の更なる充実</v>
      </c>
      <c r="D27" s="255">
        <v>304</v>
      </c>
      <c r="E27" s="316" t="str">
        <f>IF($R27=1,"",VLOOKUP($D27,'2-4'!$D$4:$L$103,2))</f>
        <v>旅費</v>
      </c>
      <c r="F27" s="316" t="str">
        <f>IF($R27=1,"取消し",VLOOKUP($D27,'2-4'!$D$4:$L$103,3))</f>
        <v>企業訪問旅費</v>
      </c>
      <c r="G27" s="225">
        <f>IF($R27=1,,VLOOKUP($D27,'2-4'!$D$4:$L$103,4))</f>
        <v>420</v>
      </c>
      <c r="H27" s="317">
        <f>IF($R27=1,,VLOOKUP($D27,'2-4'!$D$4:$L$103,5))</f>
        <v>77</v>
      </c>
      <c r="I27" s="317">
        <f>IF($R27=1,,VLOOKUP($D27,'2-4'!$D$4:$L$103,6))</f>
        <v>1</v>
      </c>
      <c r="J27" s="225">
        <f>IF($R27=1,,VLOOKUP($D27,'2-4'!$D$4:$L$103,7))</f>
        <v>32340</v>
      </c>
      <c r="K27" s="319" t="str">
        <f t="shared" si="4"/>
        <v>企業訪問旅費</v>
      </c>
      <c r="L27" s="320">
        <f t="shared" si="5"/>
        <v>420</v>
      </c>
      <c r="M27" s="321">
        <f t="shared" si="6"/>
        <v>77</v>
      </c>
      <c r="N27" s="321">
        <f t="shared" si="7"/>
        <v>1</v>
      </c>
      <c r="O27" s="310">
        <f t="shared" si="10"/>
        <v>32340</v>
      </c>
      <c r="P27" s="381">
        <f>IF($R27=1,"",VLOOKUP($D27,'2-4'!$D$4:$L$103,8))</f>
        <v>0</v>
      </c>
      <c r="Q27" s="280" t="str">
        <f>IF($R27=1,"",VLOOKUP($D27,'2-4'!$D$4:$L$103,9))</f>
        <v>（様式２－２）NO.４</v>
      </c>
      <c r="R27" s="25">
        <f>IF(AND(ISNA(MATCH($D27,'随時②-2'!$D$4:$D$18,0)),ISNA(MATCH($D27,'随時③-2'!$D$4:$D$18,0))),0,1)</f>
        <v>0</v>
      </c>
      <c r="S27" s="63">
        <f t="shared" si="8"/>
      </c>
      <c r="T27" s="63">
        <f t="shared" si="9"/>
      </c>
    </row>
    <row r="28" spans="1:20" ht="30" customHeight="1">
      <c r="A28" s="378">
        <f>'2-4'!A8</f>
        <v>0</v>
      </c>
      <c r="B28" s="379">
        <f>'2-4'!B8</f>
        <v>0</v>
      </c>
      <c r="C28" s="380">
        <f>'2-4'!C8</f>
        <v>0</v>
      </c>
      <c r="D28" s="255">
        <v>305</v>
      </c>
      <c r="E28" s="316" t="str">
        <f>IF($R28=1,"",VLOOKUP($D28,'2-4'!$D$4:$L$103,2))</f>
        <v>役務費</v>
      </c>
      <c r="F28" s="316" t="str">
        <f>IF($R28=1,"取消し",VLOOKUP($D28,'2-4'!$D$4:$L$103,3))</f>
        <v>企業向け学校案内等発送</v>
      </c>
      <c r="G28" s="225">
        <f>IF($R28=1,,VLOOKUP($D28,'2-4'!$D$4:$L$103,4))</f>
        <v>3880</v>
      </c>
      <c r="H28" s="317">
        <f>IF($R28=1,,VLOOKUP($D28,'2-4'!$D$4:$L$103,5))</f>
        <v>1</v>
      </c>
      <c r="I28" s="317">
        <f>IF($R28=1,,VLOOKUP($D28,'2-4'!$D$4:$L$103,6))</f>
        <v>1</v>
      </c>
      <c r="J28" s="225">
        <f>IF($R28=1,,VLOOKUP($D28,'2-4'!$D$4:$L$103,7))</f>
        <v>3880</v>
      </c>
      <c r="K28" s="319" t="str">
        <f t="shared" si="4"/>
        <v>企業向け学校案内等発送</v>
      </c>
      <c r="L28" s="320">
        <f t="shared" si="5"/>
        <v>3880</v>
      </c>
      <c r="M28" s="321">
        <f t="shared" si="6"/>
        <v>1</v>
      </c>
      <c r="N28" s="321">
        <f t="shared" si="7"/>
        <v>1</v>
      </c>
      <c r="O28" s="310">
        <f t="shared" si="10"/>
        <v>3880</v>
      </c>
      <c r="P28" s="381">
        <f>IF($R28=1,"",VLOOKUP($D28,'2-4'!$D$4:$L$103,8))</f>
        <v>0</v>
      </c>
      <c r="Q28" s="280" t="str">
        <f>IF($R28=1,"",VLOOKUP($D28,'2-4'!$D$4:$L$103,9))</f>
        <v>（様式２－２）NO.５</v>
      </c>
      <c r="R28" s="25">
        <f>IF(AND(ISNA(MATCH($D28,'随時②-2'!$D$4:$D$18,0)),ISNA(MATCH($D28,'随時③-2'!$D$4:$D$18,0))),0,1)</f>
        <v>0</v>
      </c>
      <c r="S28" s="63">
        <f t="shared" si="8"/>
      </c>
      <c r="T28" s="63">
        <f t="shared" si="9"/>
      </c>
    </row>
    <row r="29" spans="1:20" ht="30" customHeight="1">
      <c r="A29" s="378">
        <f>'2-4'!A9</f>
        <v>3</v>
      </c>
      <c r="B29" s="379" t="str">
        <f>'2-4'!B9</f>
        <v>3-(2)</v>
      </c>
      <c r="C29" s="380" t="str">
        <f>'2-4'!C9</f>
        <v>生徒の自己理解を深め、自尊感情、自己有用</v>
      </c>
      <c r="D29" s="255">
        <v>306</v>
      </c>
      <c r="E29" s="316" t="str">
        <f>IF($R29=1,"",VLOOKUP($D29,'2-4'!$D$4:$L$103,2))</f>
        <v>報償費</v>
      </c>
      <c r="F29" s="316" t="str">
        <f>IF($R29=1,"取消し",VLOOKUP($D29,'2-4'!$D$4:$L$103,3))</f>
        <v>スクールカウンセラー謝金</v>
      </c>
      <c r="G29" s="225">
        <f>IF($R29=1,,VLOOKUP($D29,'2-4'!$D$4:$L$103,4))</f>
        <v>5000</v>
      </c>
      <c r="H29" s="317">
        <f>IF($R29=1,,VLOOKUP($D29,'2-4'!$D$4:$L$103,5))</f>
        <v>1</v>
      </c>
      <c r="I29" s="317">
        <f>IF($R29=1,,VLOOKUP($D29,'2-4'!$D$4:$L$103,6))</f>
        <v>4</v>
      </c>
      <c r="J29" s="225">
        <f>IF($R29=1,,VLOOKUP($D29,'2-4'!$D$4:$L$103,7))</f>
        <v>20000</v>
      </c>
      <c r="K29" s="319" t="str">
        <f t="shared" si="4"/>
        <v>スクールカウンセラー謝金</v>
      </c>
      <c r="L29" s="320">
        <f t="shared" si="5"/>
        <v>5000</v>
      </c>
      <c r="M29" s="321">
        <f t="shared" si="6"/>
        <v>1</v>
      </c>
      <c r="N29" s="321">
        <f t="shared" si="7"/>
        <v>4</v>
      </c>
      <c r="O29" s="310">
        <f t="shared" si="10"/>
        <v>20000</v>
      </c>
      <c r="P29" s="381">
        <f>IF($R29=1,"",VLOOKUP($D29,'2-4'!$D$4:$L$103,8))</f>
        <v>0</v>
      </c>
      <c r="Q29" s="280" t="str">
        <f>IF($R29=1,"",VLOOKUP($D29,'2-4'!$D$4:$L$103,9))</f>
        <v>（様式２－２）NO.８</v>
      </c>
      <c r="R29" s="25">
        <f>IF(AND(ISNA(MATCH($D29,'随時②-2'!$D$4:$D$18,0)),ISNA(MATCH($D29,'随時③-2'!$D$4:$D$18,0))),0,1)</f>
        <v>0</v>
      </c>
      <c r="S29" s="63">
        <f t="shared" si="8"/>
      </c>
      <c r="T29" s="63">
        <f t="shared" si="9"/>
      </c>
    </row>
    <row r="30" spans="1:20" ht="30" customHeight="1">
      <c r="A30" s="378">
        <f>'2-4'!A10</f>
        <v>0</v>
      </c>
      <c r="B30" s="379">
        <f>'2-4'!B10</f>
        <v>0</v>
      </c>
      <c r="C30" s="380">
        <f>'2-4'!C10</f>
        <v>0</v>
      </c>
      <c r="D30" s="255">
        <v>307</v>
      </c>
      <c r="E30" s="316" t="str">
        <f>IF($R30=1,"",VLOOKUP($D30,'2-4'!$D$4:$L$103,2))</f>
        <v>報償費</v>
      </c>
      <c r="F30" s="316" t="str">
        <f>IF($R30=1,"取消し",VLOOKUP($D30,'2-4'!$D$4:$L$103,3))</f>
        <v>スクールソーシャルカウンセラー謝金</v>
      </c>
      <c r="G30" s="225">
        <f>IF($R30=1,,VLOOKUP($D30,'2-4'!$D$4:$L$103,4))</f>
        <v>5000</v>
      </c>
      <c r="H30" s="317">
        <f>IF($R30=1,,VLOOKUP($D30,'2-4'!$D$4:$L$103,5))</f>
        <v>1</v>
      </c>
      <c r="I30" s="317">
        <f>IF($R30=1,,VLOOKUP($D30,'2-4'!$D$4:$L$103,6))</f>
        <v>8</v>
      </c>
      <c r="J30" s="225">
        <f>IF($R30=1,,VLOOKUP($D30,'2-4'!$D$4:$L$103,7))</f>
        <v>40000</v>
      </c>
      <c r="K30" s="319" t="str">
        <f t="shared" si="4"/>
        <v>スクールソーシャルカウンセラー謝金</v>
      </c>
      <c r="L30" s="320">
        <f t="shared" si="5"/>
        <v>5000</v>
      </c>
      <c r="M30" s="321">
        <f t="shared" si="6"/>
        <v>1</v>
      </c>
      <c r="N30" s="321">
        <f t="shared" si="7"/>
        <v>8</v>
      </c>
      <c r="O30" s="310">
        <f t="shared" si="10"/>
        <v>40000</v>
      </c>
      <c r="P30" s="381">
        <f>IF($R30=1,"",VLOOKUP($D30,'2-4'!$D$4:$L$103,8))</f>
        <v>0</v>
      </c>
      <c r="Q30" s="280" t="str">
        <f>IF($R30=1,"",VLOOKUP($D30,'2-4'!$D$4:$L$103,9))</f>
        <v>（様式２－２）NO.９</v>
      </c>
      <c r="R30" s="25">
        <f>IF(AND(ISNA(MATCH($D30,'随時②-2'!$D$4:$D$18,0)),ISNA(MATCH($D30,'随時③-2'!$D$4:$D$18,0))),0,1)</f>
        <v>0</v>
      </c>
      <c r="S30" s="63">
        <f t="shared" si="8"/>
      </c>
      <c r="T30" s="63">
        <f t="shared" si="9"/>
      </c>
    </row>
    <row r="31" spans="1:20" ht="30" customHeight="1">
      <c r="A31" s="378">
        <f>'2-4'!A11</f>
        <v>0</v>
      </c>
      <c r="B31" s="379">
        <f>'2-4'!B11</f>
        <v>0</v>
      </c>
      <c r="C31" s="380">
        <f>'2-4'!C11</f>
        <v>0</v>
      </c>
      <c r="D31" s="255">
        <v>308</v>
      </c>
      <c r="E31" s="316" t="str">
        <f>IF($R31=1,"",VLOOKUP($D31,'2-4'!$D$4:$L$103,2))</f>
        <v>報償費</v>
      </c>
      <c r="F31" s="316" t="str">
        <f>IF($R31=1,"取消し",VLOOKUP($D31,'2-4'!$D$4:$L$103,3))</f>
        <v>就職コーディネーター謝金</v>
      </c>
      <c r="G31" s="225">
        <f>IF($R31=1,,VLOOKUP($D31,'2-4'!$D$4:$L$103,4))</f>
        <v>2000</v>
      </c>
      <c r="H31" s="317">
        <f>IF($R31=1,,VLOOKUP($D31,'2-4'!$D$4:$L$103,5))</f>
        <v>1</v>
      </c>
      <c r="I31" s="317">
        <f>IF($R31=1,,VLOOKUP($D31,'2-4'!$D$4:$L$103,6))</f>
        <v>156</v>
      </c>
      <c r="J31" s="225">
        <f>IF($R31=1,,VLOOKUP($D31,'2-4'!$D$4:$L$103,7))</f>
        <v>312000</v>
      </c>
      <c r="K31" s="319" t="str">
        <f t="shared" si="4"/>
        <v>就職コーディネーター謝金</v>
      </c>
      <c r="L31" s="320">
        <f t="shared" si="5"/>
        <v>2000</v>
      </c>
      <c r="M31" s="321">
        <f t="shared" si="6"/>
        <v>1</v>
      </c>
      <c r="N31" s="321">
        <f t="shared" si="7"/>
        <v>156</v>
      </c>
      <c r="O31" s="310">
        <f t="shared" si="10"/>
        <v>312000</v>
      </c>
      <c r="P31" s="381">
        <f>IF($R31=1,"",VLOOKUP($D31,'2-4'!$D$4:$L$103,8))</f>
        <v>0</v>
      </c>
      <c r="Q31" s="280" t="str">
        <f>IF($R31=1,"",VLOOKUP($D31,'2-4'!$D$4:$L$103,9))</f>
        <v>（様式２－２）NO.１１</v>
      </c>
      <c r="R31" s="25">
        <f>IF(AND(ISNA(MATCH($D31,'随時②-2'!$D$4:$D$18,0)),ISNA(MATCH($D31,'随時③-2'!$D$4:$D$18,0))),0,1)</f>
        <v>0</v>
      </c>
      <c r="S31" s="63">
        <f t="shared" si="8"/>
      </c>
      <c r="T31" s="63">
        <f t="shared" si="9"/>
      </c>
    </row>
    <row r="32" spans="1:20" ht="30" customHeight="1">
      <c r="A32" s="378">
        <f>'2-4'!A12</f>
        <v>0</v>
      </c>
      <c r="B32" s="379">
        <f>'2-4'!B12</f>
        <v>0</v>
      </c>
      <c r="C32" s="380">
        <f>'2-4'!C12</f>
        <v>0</v>
      </c>
      <c r="D32" s="255">
        <v>309</v>
      </c>
      <c r="E32" s="316" t="str">
        <f>IF($R32=1,"",VLOOKUP($D32,'2-4'!$D$4:$L$103,2))</f>
        <v>消耗需用費</v>
      </c>
      <c r="F32" s="316" t="str">
        <f>IF($R32=1,"取消し",VLOOKUP($D32,'2-4'!$D$4:$L$103,3))</f>
        <v>図書等消耗品</v>
      </c>
      <c r="G32" s="225">
        <f>IF($R32=1,,VLOOKUP($D32,'2-4'!$D$4:$L$103,4))</f>
        <v>10000</v>
      </c>
      <c r="H32" s="317">
        <f>IF($R32=1,,VLOOKUP($D32,'2-4'!$D$4:$L$103,5))</f>
        <v>1</v>
      </c>
      <c r="I32" s="317">
        <f>IF($R32=1,,VLOOKUP($D32,'2-4'!$D$4:$L$103,6))</f>
        <v>1</v>
      </c>
      <c r="J32" s="225">
        <f>IF($R32=1,,VLOOKUP($D32,'2-4'!$D$4:$L$103,7))</f>
        <v>10000</v>
      </c>
      <c r="K32" s="319" t="str">
        <f t="shared" si="4"/>
        <v>図書等消耗品</v>
      </c>
      <c r="L32" s="320">
        <f t="shared" si="5"/>
        <v>10000</v>
      </c>
      <c r="M32" s="321">
        <f t="shared" si="6"/>
        <v>1</v>
      </c>
      <c r="N32" s="321">
        <f t="shared" si="7"/>
        <v>1</v>
      </c>
      <c r="O32" s="310">
        <f t="shared" si="10"/>
        <v>10000</v>
      </c>
      <c r="P32" s="381">
        <f>IF($R32=1,"",VLOOKUP($D32,'2-4'!$D$4:$L$103,8))</f>
        <v>0</v>
      </c>
      <c r="Q32" s="280" t="str">
        <f>IF($R32=1,"",VLOOKUP($D32,'2-4'!$D$4:$L$103,9))</f>
        <v>（様式２－２）NO.１３</v>
      </c>
      <c r="R32" s="25">
        <f>IF(AND(ISNA(MATCH($D32,'随時②-2'!$D$4:$D$18,0)),ISNA(MATCH($D32,'随時③-2'!$D$4:$D$18,0))),0,1)</f>
        <v>0</v>
      </c>
      <c r="S32" s="63">
        <f t="shared" si="8"/>
      </c>
      <c r="T32" s="63">
        <f t="shared" si="9"/>
      </c>
    </row>
    <row r="33" spans="1:20" ht="30" customHeight="1">
      <c r="A33" s="378">
        <f>'2-4'!A13</f>
        <v>4</v>
      </c>
      <c r="B33" s="379" t="str">
        <f>'2-4'!B13</f>
        <v>4-(１)</v>
      </c>
      <c r="C33" s="380" t="str">
        <f>'2-4'!C13</f>
        <v>教職員の力量と本校の信頼度アップ</v>
      </c>
      <c r="D33" s="255">
        <v>310</v>
      </c>
      <c r="E33" s="316" t="str">
        <f>IF($R33=1,"",VLOOKUP($D33,'2-4'!$D$4:$L$103,2))</f>
        <v>旅費</v>
      </c>
      <c r="F33" s="316" t="str">
        <f>IF($R33=1,"取消し",VLOOKUP($D33,'2-4'!$D$4:$L$103,3))</f>
        <v>全国校長会</v>
      </c>
      <c r="G33" s="225">
        <f>IF($R33=1,,VLOOKUP($D33,'2-4'!$D$4:$L$103,4))</f>
        <v>50000</v>
      </c>
      <c r="H33" s="317">
        <f>IF($R33=1,,VLOOKUP($D33,'2-4'!$D$4:$L$103,5))</f>
        <v>1</v>
      </c>
      <c r="I33" s="317">
        <f>IF($R33=1,,VLOOKUP($D33,'2-4'!$D$4:$L$103,6))</f>
        <v>2</v>
      </c>
      <c r="J33" s="225">
        <f>IF($R33=1,,VLOOKUP($D33,'2-4'!$D$4:$L$103,7))</f>
        <v>100000</v>
      </c>
      <c r="K33" s="319" t="str">
        <f t="shared" si="4"/>
        <v>全国校長会</v>
      </c>
      <c r="L33" s="320">
        <f t="shared" si="5"/>
        <v>50000</v>
      </c>
      <c r="M33" s="321">
        <f t="shared" si="6"/>
        <v>1</v>
      </c>
      <c r="N33" s="321">
        <f t="shared" si="7"/>
        <v>2</v>
      </c>
      <c r="O33" s="310">
        <f t="shared" si="10"/>
        <v>100000</v>
      </c>
      <c r="P33" s="381">
        <f>IF($R33=1,"",VLOOKUP($D33,'2-4'!$D$4:$L$103,8))</f>
        <v>0</v>
      </c>
      <c r="Q33" s="280">
        <f>IF($R33=1,"",VLOOKUP($D33,'2-4'!$D$4:$L$103,9))</f>
        <v>0</v>
      </c>
      <c r="R33" s="25">
        <f>IF(AND(ISNA(MATCH($D33,'随時②-2'!$D$4:$D$18,0)),ISNA(MATCH($D33,'随時③-2'!$D$4:$D$18,0))),0,1)</f>
        <v>0</v>
      </c>
      <c r="S33" s="63">
        <f t="shared" si="8"/>
      </c>
      <c r="T33" s="63">
        <f t="shared" si="9"/>
      </c>
    </row>
    <row r="34" spans="1:20" ht="30" customHeight="1">
      <c r="A34" s="378">
        <f>'2-4'!A14</f>
        <v>0</v>
      </c>
      <c r="B34" s="379">
        <f>'2-4'!B14</f>
        <v>0</v>
      </c>
      <c r="C34" s="380">
        <f>'2-4'!C14</f>
        <v>0</v>
      </c>
      <c r="D34" s="255">
        <v>311</v>
      </c>
      <c r="E34" s="316" t="str">
        <f>IF($R34=1,"",VLOOKUP($D34,'2-4'!$D$4:$L$103,2))</f>
        <v>旅費</v>
      </c>
      <c r="F34" s="316" t="str">
        <f>IF($R34=1,"取消し",VLOOKUP($D34,'2-4'!$D$4:$L$103,3))</f>
        <v>進路就職先進校視察</v>
      </c>
      <c r="G34" s="225">
        <f>IF($R34=1,,VLOOKUP($D34,'2-4'!$D$4:$L$103,4))</f>
        <v>50000</v>
      </c>
      <c r="H34" s="317">
        <f>IF($R34=1,,VLOOKUP($D34,'2-4'!$D$4:$L$103,5))</f>
        <v>1</v>
      </c>
      <c r="I34" s="317">
        <f>IF($R34=1,,VLOOKUP($D34,'2-4'!$D$4:$L$103,6))</f>
        <v>2</v>
      </c>
      <c r="J34" s="225">
        <f>IF($R34=1,,VLOOKUP($D34,'2-4'!$D$4:$L$103,7))</f>
        <v>100000</v>
      </c>
      <c r="K34" s="319" t="str">
        <f t="shared" si="4"/>
        <v>進路就職先進校視察</v>
      </c>
      <c r="L34" s="320">
        <f t="shared" si="5"/>
        <v>50000</v>
      </c>
      <c r="M34" s="321">
        <f t="shared" si="6"/>
        <v>1</v>
      </c>
      <c r="N34" s="321">
        <f t="shared" si="7"/>
        <v>2</v>
      </c>
      <c r="O34" s="310">
        <f t="shared" si="10"/>
        <v>100000</v>
      </c>
      <c r="P34" s="381">
        <f>IF($R34=1,"",VLOOKUP($D34,'2-4'!$D$4:$L$103,8))</f>
        <v>0</v>
      </c>
      <c r="Q34" s="280">
        <f>IF($R34=1,"",VLOOKUP($D34,'2-4'!$D$4:$L$103,9))</f>
        <v>0</v>
      </c>
      <c r="R34" s="25">
        <f>IF(AND(ISNA(MATCH($D34,'随時②-2'!$D$4:$D$18,0)),ISNA(MATCH($D34,'随時③-2'!$D$4:$D$18,0))),0,1)</f>
        <v>0</v>
      </c>
      <c r="S34" s="63">
        <f t="shared" si="8"/>
      </c>
      <c r="T34" s="63">
        <f t="shared" si="9"/>
      </c>
    </row>
    <row r="35" spans="1:20" ht="30" customHeight="1">
      <c r="A35" s="378">
        <f>'2-4'!A15</f>
        <v>0</v>
      </c>
      <c r="B35" s="379">
        <f>'2-4'!B15</f>
        <v>0</v>
      </c>
      <c r="C35" s="380">
        <f>'2-4'!C15</f>
        <v>0</v>
      </c>
      <c r="D35" s="255">
        <v>312</v>
      </c>
      <c r="E35" s="316" t="str">
        <f>IF($R35=1,"",VLOOKUP($D35,'2-4'!$D$4:$L$103,2))</f>
        <v>旅費</v>
      </c>
      <c r="F35" s="316" t="str">
        <f>IF($R35=1,"取消し",VLOOKUP($D35,'2-4'!$D$4:$L$103,3))</f>
        <v>中学校訪問旅費</v>
      </c>
      <c r="G35" s="225">
        <f>IF($R35=1,,VLOOKUP($D35,'2-4'!$D$4:$L$103,4))</f>
        <v>400</v>
      </c>
      <c r="H35" s="317">
        <f>IF($R35=1,,VLOOKUP($D35,'2-4'!$D$4:$L$103,5))</f>
        <v>50</v>
      </c>
      <c r="I35" s="317">
        <f>IF($R35=1,,VLOOKUP($D35,'2-4'!$D$4:$L$103,6))</f>
        <v>2</v>
      </c>
      <c r="J35" s="225">
        <f>IF($R35=1,,VLOOKUP($D35,'2-4'!$D$4:$L$103,7))</f>
        <v>40000</v>
      </c>
      <c r="K35" s="319" t="str">
        <f t="shared" si="4"/>
        <v>中学校訪問旅費</v>
      </c>
      <c r="L35" s="320">
        <f t="shared" si="5"/>
        <v>400</v>
      </c>
      <c r="M35" s="321">
        <f t="shared" si="6"/>
        <v>50</v>
      </c>
      <c r="N35" s="321">
        <f t="shared" si="7"/>
        <v>2</v>
      </c>
      <c r="O35" s="310">
        <f t="shared" si="10"/>
        <v>40000</v>
      </c>
      <c r="P35" s="381">
        <f>IF($R35=1,"",VLOOKUP($D35,'2-4'!$D$4:$L$103,8))</f>
        <v>0</v>
      </c>
      <c r="Q35" s="280" t="str">
        <f>IF($R35=1,"",VLOOKUP($D35,'2-4'!$D$4:$L$103,9))</f>
        <v>（様式２－２）NO.１７</v>
      </c>
      <c r="R35" s="25">
        <f>IF(AND(ISNA(MATCH($D35,'随時②-2'!$D$4:$D$18,0)),ISNA(MATCH($D35,'随時③-2'!$D$4:$D$18,0))),0,1)</f>
        <v>0</v>
      </c>
      <c r="S35" s="63">
        <f t="shared" si="8"/>
      </c>
      <c r="T35" s="63">
        <f t="shared" si="9"/>
      </c>
    </row>
    <row r="36" spans="1:20" ht="30" customHeight="1">
      <c r="A36" s="378">
        <f>'2-4'!A16</f>
        <v>0</v>
      </c>
      <c r="B36" s="379">
        <f>'2-4'!B16</f>
        <v>0</v>
      </c>
      <c r="C36" s="380">
        <f>'2-4'!C16</f>
        <v>0</v>
      </c>
      <c r="D36" s="255">
        <v>313</v>
      </c>
      <c r="E36" s="316" t="str">
        <f>IF($R36=1,"",VLOOKUP($D36,'2-4'!$D$4:$L$103,2))</f>
        <v>消耗需用費</v>
      </c>
      <c r="F36" s="316" t="str">
        <f>IF($R36=1,"取消し",VLOOKUP($D36,'2-4'!$D$4:$L$103,3))</f>
        <v>学校案内、ポスター作製費</v>
      </c>
      <c r="G36" s="225">
        <f>IF($R36=1,,VLOOKUP($D36,'2-4'!$D$4:$L$103,4))</f>
        <v>17000</v>
      </c>
      <c r="H36" s="317">
        <f>IF($R36=1,,VLOOKUP($D36,'2-4'!$D$4:$L$103,5))</f>
        <v>1</v>
      </c>
      <c r="I36" s="317">
        <f>IF($R36=1,,VLOOKUP($D36,'2-4'!$D$4:$L$103,6))</f>
        <v>1</v>
      </c>
      <c r="J36" s="225">
        <f>IF($R36=1,,VLOOKUP($D36,'2-4'!$D$4:$L$103,7))</f>
        <v>17000</v>
      </c>
      <c r="K36" s="319" t="str">
        <f t="shared" si="4"/>
        <v>学校案内、ポスター作製費</v>
      </c>
      <c r="L36" s="320">
        <f t="shared" si="5"/>
        <v>17000</v>
      </c>
      <c r="M36" s="321">
        <f t="shared" si="6"/>
        <v>1</v>
      </c>
      <c r="N36" s="321">
        <f t="shared" si="7"/>
        <v>1</v>
      </c>
      <c r="O36" s="310">
        <f t="shared" si="10"/>
        <v>17000</v>
      </c>
      <c r="P36" s="381">
        <f>IF($R36=1,"",VLOOKUP($D36,'2-4'!$D$4:$L$103,8))</f>
        <v>0</v>
      </c>
      <c r="Q36" s="280" t="str">
        <f>IF($R36=1,"",VLOOKUP($D36,'2-4'!$D$4:$L$103,9))</f>
        <v>（様式２－２）NO.１９</v>
      </c>
      <c r="R36" s="25">
        <f>IF(AND(ISNA(MATCH($D36,'随時②-2'!$D$4:$D$18,0)),ISNA(MATCH($D36,'随時③-2'!$D$4:$D$18,0))),0,1)</f>
        <v>0</v>
      </c>
      <c r="S36" s="63">
        <f t="shared" si="8"/>
      </c>
      <c r="T36" s="63">
        <f t="shared" si="9"/>
      </c>
    </row>
    <row r="37" spans="1:20" ht="30" customHeight="1">
      <c r="A37" s="378">
        <f>'2-4'!A17</f>
        <v>0</v>
      </c>
      <c r="B37" s="379">
        <f>'2-4'!B17</f>
        <v>0</v>
      </c>
      <c r="C37" s="380">
        <f>'2-4'!C17</f>
        <v>0</v>
      </c>
      <c r="D37" s="255">
        <v>314</v>
      </c>
      <c r="E37" s="316" t="str">
        <f>IF($R37=1,"",VLOOKUP($D37,'2-4'!$D$4:$L$103,2))</f>
        <v>消耗需用費</v>
      </c>
      <c r="F37" s="316" t="str">
        <f>IF($R37=1,"取消し",VLOOKUP($D37,'2-4'!$D$4:$L$103,3))</f>
        <v>広報活動用消耗品</v>
      </c>
      <c r="G37" s="225">
        <f>IF($R37=1,,VLOOKUP($D37,'2-4'!$D$4:$L$103,4))</f>
        <v>20210</v>
      </c>
      <c r="H37" s="317">
        <f>IF($R37=1,,VLOOKUP($D37,'2-4'!$D$4:$L$103,5))</f>
        <v>1</v>
      </c>
      <c r="I37" s="317">
        <f>IF($R37=1,,VLOOKUP($D37,'2-4'!$D$4:$L$103,6))</f>
        <v>1</v>
      </c>
      <c r="J37" s="225">
        <f>IF($R37=1,,VLOOKUP($D37,'2-4'!$D$4:$L$103,7))</f>
        <v>20210</v>
      </c>
      <c r="K37" s="319" t="str">
        <f t="shared" si="4"/>
        <v>広報活動用消耗品</v>
      </c>
      <c r="L37" s="320">
        <f t="shared" si="5"/>
        <v>20210</v>
      </c>
      <c r="M37" s="321">
        <f t="shared" si="6"/>
        <v>1</v>
      </c>
      <c r="N37" s="321">
        <f t="shared" si="7"/>
        <v>1</v>
      </c>
      <c r="O37" s="310">
        <f t="shared" si="10"/>
        <v>20210</v>
      </c>
      <c r="P37" s="381">
        <f>IF($R37=1,"",VLOOKUP($D37,'2-4'!$D$4:$L$103,8))</f>
        <v>0</v>
      </c>
      <c r="Q37" s="280" t="str">
        <f>IF($R37=1,"",VLOOKUP($D37,'2-4'!$D$4:$L$103,9))</f>
        <v>（様式２－２）NO.２０</v>
      </c>
      <c r="R37" s="25">
        <f>IF(AND(ISNA(MATCH($D37,'随時②-2'!$D$4:$D$18,0)),ISNA(MATCH($D37,'随時③-2'!$D$4:$D$18,0))),0,1)</f>
        <v>0</v>
      </c>
      <c r="S37" s="63">
        <f t="shared" si="8"/>
      </c>
      <c r="T37" s="63">
        <f t="shared" si="9"/>
      </c>
    </row>
    <row r="38" spans="1:20" ht="30" customHeight="1">
      <c r="A38" s="378">
        <f>'2-4'!A18</f>
        <v>0</v>
      </c>
      <c r="B38" s="379">
        <f>'2-4'!B18</f>
        <v>0</v>
      </c>
      <c r="C38" s="380">
        <f>'2-4'!C18</f>
        <v>0</v>
      </c>
      <c r="D38" s="255">
        <v>315</v>
      </c>
      <c r="E38" s="316" t="str">
        <f>IF($R38=1,"",VLOOKUP($D38,'2-4'!$D$4:$L$103,2))</f>
        <v>消耗需用費</v>
      </c>
      <c r="F38" s="316" t="str">
        <f>IF($R38=1,"取消し",VLOOKUP($D38,'2-4'!$D$4:$L$103,3))</f>
        <v>学校説明会模擬授業用消耗品</v>
      </c>
      <c r="G38" s="225">
        <f>IF($R38=1,,VLOOKUP($D38,'2-4'!$D$4:$L$103,4))</f>
        <v>20000</v>
      </c>
      <c r="H38" s="317">
        <f>IF($R38=1,,VLOOKUP($D38,'2-4'!$D$4:$L$103,5))</f>
        <v>1</v>
      </c>
      <c r="I38" s="317">
        <f>IF($R38=1,,VLOOKUP($D38,'2-4'!$D$4:$L$103,6))</f>
        <v>1</v>
      </c>
      <c r="J38" s="225">
        <f>IF($R38=1,,VLOOKUP($D38,'2-4'!$D$4:$L$103,7))</f>
        <v>20000</v>
      </c>
      <c r="K38" s="319" t="str">
        <f t="shared" si="4"/>
        <v>学校説明会模擬授業用消耗品</v>
      </c>
      <c r="L38" s="320">
        <f t="shared" si="5"/>
        <v>20000</v>
      </c>
      <c r="M38" s="321">
        <f t="shared" si="6"/>
        <v>1</v>
      </c>
      <c r="N38" s="321">
        <f t="shared" si="7"/>
        <v>1</v>
      </c>
      <c r="O38" s="310">
        <f t="shared" si="10"/>
        <v>20000</v>
      </c>
      <c r="P38" s="381">
        <f>IF($R38=1,"",VLOOKUP($D38,'2-4'!$D$4:$L$103,8))</f>
        <v>0</v>
      </c>
      <c r="Q38" s="280" t="str">
        <f>IF($R38=1,"",VLOOKUP($D38,'2-4'!$D$4:$L$103,9))</f>
        <v>（様式２－２）NO.２１</v>
      </c>
      <c r="R38" s="25">
        <f>IF(AND(ISNA(MATCH($D38,'随時②-2'!$D$4:$D$18,0)),ISNA(MATCH($D38,'随時③-2'!$D$4:$D$18,0))),0,1)</f>
        <v>0</v>
      </c>
      <c r="S38" s="63">
        <f t="shared" si="8"/>
      </c>
      <c r="T38" s="63">
        <f t="shared" si="9"/>
      </c>
    </row>
    <row r="39" spans="1:20" ht="30" customHeight="1">
      <c r="A39" s="378">
        <f>'2-4'!A19</f>
        <v>0</v>
      </c>
      <c r="B39" s="379">
        <f>'2-4'!B19</f>
        <v>0</v>
      </c>
      <c r="C39" s="380">
        <f>'2-4'!C19</f>
        <v>0</v>
      </c>
      <c r="D39" s="255">
        <v>316</v>
      </c>
      <c r="E39" s="316" t="str">
        <f>IF($R39=1,"",VLOOKUP($D39,'2-4'!$D$4:$L$103,2))</f>
        <v>役務費</v>
      </c>
      <c r="F39" s="316" t="str">
        <f>IF($R39=1,"取消し",VLOOKUP($D39,'2-4'!$D$4:$L$103,3))</f>
        <v>学校説明会案内送付費</v>
      </c>
      <c r="G39" s="225">
        <f>IF($R39=1,,VLOOKUP($D39,'2-4'!$D$4:$L$103,4))</f>
        <v>82</v>
      </c>
      <c r="H39" s="317">
        <f>IF($R39=1,,VLOOKUP($D39,'2-4'!$D$4:$L$103,5))</f>
        <v>80</v>
      </c>
      <c r="I39" s="317">
        <f>IF($R39=1,,VLOOKUP($D39,'2-4'!$D$4:$L$103,6))</f>
        <v>1</v>
      </c>
      <c r="J39" s="225">
        <f>IF($R39=1,,VLOOKUP($D39,'2-4'!$D$4:$L$103,7))</f>
        <v>6560</v>
      </c>
      <c r="K39" s="319" t="str">
        <f t="shared" si="4"/>
        <v>学校説明会案内送付費</v>
      </c>
      <c r="L39" s="320">
        <f t="shared" si="5"/>
        <v>82</v>
      </c>
      <c r="M39" s="321">
        <f t="shared" si="6"/>
        <v>80</v>
      </c>
      <c r="N39" s="321">
        <f t="shared" si="7"/>
        <v>1</v>
      </c>
      <c r="O39" s="310">
        <f t="shared" si="10"/>
        <v>6560</v>
      </c>
      <c r="P39" s="381">
        <f>IF($R39=1,"",VLOOKUP($D39,'2-4'!$D$4:$L$103,8))</f>
        <v>0</v>
      </c>
      <c r="Q39" s="280" t="str">
        <f>IF($R39=1,"",VLOOKUP($D39,'2-4'!$D$4:$L$103,9))</f>
        <v>（様式２－２）NO.２２</v>
      </c>
      <c r="R39" s="25">
        <f>IF(AND(ISNA(MATCH($D39,'随時②-2'!$D$4:$D$18,0)),ISNA(MATCH($D39,'随時③-2'!$D$4:$D$18,0))),0,1)</f>
        <v>0</v>
      </c>
      <c r="S39" s="63">
        <f t="shared" si="8"/>
      </c>
      <c r="T39" s="63">
        <f t="shared" si="9"/>
      </c>
    </row>
    <row r="40" spans="1:20" ht="30" customHeight="1" thickBot="1">
      <c r="A40" s="378">
        <f>'2-4'!A20</f>
        <v>0</v>
      </c>
      <c r="B40" s="379">
        <f>'2-4'!B20</f>
        <v>0</v>
      </c>
      <c r="C40" s="380">
        <f>'2-4'!C20</f>
        <v>0</v>
      </c>
      <c r="D40" s="255">
        <v>317</v>
      </c>
      <c r="E40" s="316" t="str">
        <f>IF($R40=1,"",VLOOKUP($D40,'2-4'!$D$4:$L$103,2))</f>
        <v>役務費</v>
      </c>
      <c r="F40" s="316" t="str">
        <f>IF($R40=1,"取消し",VLOOKUP($D40,'2-4'!$D$4:$L$103,3))</f>
        <v>保護者懇談会等案内送付費</v>
      </c>
      <c r="G40" s="225">
        <f>IF($R40=1,,VLOOKUP($D40,'2-4'!$D$4:$L$103,4))</f>
        <v>82</v>
      </c>
      <c r="H40" s="317">
        <f>IF($R40=1,,VLOOKUP($D40,'2-4'!$D$4:$L$103,5))</f>
        <v>80</v>
      </c>
      <c r="I40" s="317">
        <f>IF($R40=1,,VLOOKUP($D40,'2-4'!$D$4:$L$103,6))</f>
        <v>1</v>
      </c>
      <c r="J40" s="225">
        <f>IF($R40=1,,VLOOKUP($D40,'2-4'!$D$4:$L$103,7))</f>
        <v>6560</v>
      </c>
      <c r="K40" s="319" t="str">
        <f t="shared" si="4"/>
        <v>保護者懇談会等案内送付費</v>
      </c>
      <c r="L40" s="320">
        <f t="shared" si="5"/>
        <v>82</v>
      </c>
      <c r="M40" s="321">
        <f t="shared" si="6"/>
        <v>80</v>
      </c>
      <c r="N40" s="321">
        <f t="shared" si="7"/>
        <v>1</v>
      </c>
      <c r="O40" s="310">
        <f t="shared" si="10"/>
        <v>6560</v>
      </c>
      <c r="P40" s="381">
        <f>IF($R40=1,"",VLOOKUP($D40,'2-4'!$D$4:$L$103,8))</f>
        <v>0</v>
      </c>
      <c r="Q40" s="280" t="str">
        <f>IF($R40=1,"",VLOOKUP($D40,'2-4'!$D$4:$L$103,9))</f>
        <v>（様式２－２）NO.２３</v>
      </c>
      <c r="R40" s="25">
        <f>IF(AND(ISNA(MATCH($D40,'随時②-2'!$D$4:$D$18,0)),ISNA(MATCH($D40,'随時③-2'!$D$4:$D$18,0))),0,1)</f>
        <v>0</v>
      </c>
      <c r="S40" s="63">
        <f t="shared" si="8"/>
      </c>
      <c r="T40" s="63">
        <f t="shared" si="9"/>
      </c>
    </row>
    <row r="41" spans="1:17" ht="13.5">
      <c r="A41" s="51"/>
      <c r="B41" s="51"/>
      <c r="C41" s="51"/>
      <c r="D41" s="73"/>
      <c r="E41" s="64"/>
      <c r="F41" s="64"/>
      <c r="G41" s="49"/>
      <c r="H41" s="65"/>
      <c r="I41" s="65"/>
      <c r="J41" s="52">
        <f>G41*H41*I41</f>
        <v>0</v>
      </c>
      <c r="K41" s="64"/>
      <c r="L41" s="36"/>
      <c r="M41" s="68"/>
      <c r="N41" s="68"/>
      <c r="O41" s="36"/>
      <c r="P41" s="37"/>
      <c r="Q41" s="69"/>
    </row>
    <row r="42" spans="6:10" ht="24" customHeight="1" thickBot="1">
      <c r="F42" s="28"/>
      <c r="G42" s="28"/>
      <c r="I42" s="551" t="s">
        <v>15</v>
      </c>
      <c r="J42" s="551"/>
    </row>
    <row r="43" spans="4:15" ht="24" customHeight="1" thickBot="1">
      <c r="D43" s="5"/>
      <c r="F43" s="24"/>
      <c r="G43" s="24"/>
      <c r="I43" s="565" t="s">
        <v>96</v>
      </c>
      <c r="J43" s="566"/>
      <c r="K43" s="38" t="s">
        <v>191</v>
      </c>
      <c r="L43" s="552" t="s">
        <v>176</v>
      </c>
      <c r="M43" s="553"/>
      <c r="N43" s="554" t="s">
        <v>192</v>
      </c>
      <c r="O43" s="555"/>
    </row>
    <row r="44" spans="4:15" ht="14.25" thickTop="1">
      <c r="D44" s="5"/>
      <c r="I44" s="567" t="s">
        <v>85</v>
      </c>
      <c r="J44" s="568"/>
      <c r="K44" s="349">
        <f aca="true" t="shared" si="11" ref="K44:K52">SUMIF($E$4:$E$40,$I44,$O$4:$O$40)</f>
        <v>560000</v>
      </c>
      <c r="L44" s="561">
        <f aca="true" t="shared" si="12" ref="L44:L51">SUMIF($E$4:$E$40,$I44,$T$4:$T$40)</f>
        <v>0</v>
      </c>
      <c r="M44" s="562">
        <f aca="true" t="shared" si="13" ref="M44:M52">SUMIF($E$4:$E$40,$I44,$O$4:$O$40)</f>
        <v>560000</v>
      </c>
      <c r="N44" s="563">
        <f>K44-L44</f>
        <v>560000</v>
      </c>
      <c r="O44" s="564"/>
    </row>
    <row r="45" spans="4:15" ht="13.5">
      <c r="D45" s="5"/>
      <c r="I45" s="533" t="s">
        <v>86</v>
      </c>
      <c r="J45" s="534"/>
      <c r="K45" s="352">
        <f t="shared" si="11"/>
        <v>442000</v>
      </c>
      <c r="L45" s="539">
        <f t="shared" si="12"/>
        <v>0</v>
      </c>
      <c r="M45" s="540">
        <f t="shared" si="13"/>
        <v>442000</v>
      </c>
      <c r="N45" s="541">
        <f aca="true" t="shared" si="14" ref="N45:N52">K45-L45</f>
        <v>442000</v>
      </c>
      <c r="O45" s="542"/>
    </row>
    <row r="46" spans="4:15" ht="13.5">
      <c r="D46" s="5"/>
      <c r="I46" s="533" t="s">
        <v>125</v>
      </c>
      <c r="J46" s="534"/>
      <c r="K46" s="348">
        <f t="shared" si="11"/>
        <v>70210</v>
      </c>
      <c r="L46" s="539">
        <f t="shared" si="12"/>
        <v>0</v>
      </c>
      <c r="M46" s="540">
        <f t="shared" si="13"/>
        <v>70210</v>
      </c>
      <c r="N46" s="541">
        <f t="shared" si="14"/>
        <v>70210</v>
      </c>
      <c r="O46" s="542"/>
    </row>
    <row r="47" spans="4:15" ht="13.5">
      <c r="D47" s="5"/>
      <c r="I47" s="533" t="s">
        <v>126</v>
      </c>
      <c r="J47" s="534"/>
      <c r="K47" s="348">
        <f t="shared" si="11"/>
        <v>0</v>
      </c>
      <c r="L47" s="539">
        <f t="shared" si="12"/>
        <v>0</v>
      </c>
      <c r="M47" s="540">
        <f t="shared" si="13"/>
        <v>0</v>
      </c>
      <c r="N47" s="541">
        <f t="shared" si="14"/>
        <v>0</v>
      </c>
      <c r="O47" s="542"/>
    </row>
    <row r="48" spans="4:15" ht="13.5">
      <c r="D48" s="5"/>
      <c r="I48" s="533" t="s">
        <v>87</v>
      </c>
      <c r="J48" s="534"/>
      <c r="K48" s="348">
        <f t="shared" si="11"/>
        <v>17000</v>
      </c>
      <c r="L48" s="539">
        <f t="shared" si="12"/>
        <v>0</v>
      </c>
      <c r="M48" s="540">
        <f t="shared" si="13"/>
        <v>17000</v>
      </c>
      <c r="N48" s="541">
        <f t="shared" si="14"/>
        <v>17000</v>
      </c>
      <c r="O48" s="542"/>
    </row>
    <row r="49" spans="4:15" ht="13.5">
      <c r="D49" s="5"/>
      <c r="I49" s="533" t="s">
        <v>88</v>
      </c>
      <c r="J49" s="534"/>
      <c r="K49" s="348">
        <f t="shared" si="11"/>
        <v>48860</v>
      </c>
      <c r="L49" s="539">
        <f t="shared" si="12"/>
        <v>0</v>
      </c>
      <c r="M49" s="540">
        <f t="shared" si="13"/>
        <v>48860</v>
      </c>
      <c r="N49" s="541">
        <f t="shared" si="14"/>
        <v>48860</v>
      </c>
      <c r="O49" s="542"/>
    </row>
    <row r="50" spans="4:15" ht="13.5">
      <c r="D50" s="5"/>
      <c r="I50" s="533" t="s">
        <v>89</v>
      </c>
      <c r="J50" s="534"/>
      <c r="K50" s="348">
        <f t="shared" si="11"/>
        <v>0</v>
      </c>
      <c r="L50" s="539">
        <f t="shared" si="12"/>
        <v>0</v>
      </c>
      <c r="M50" s="540">
        <f t="shared" si="13"/>
        <v>0</v>
      </c>
      <c r="N50" s="541">
        <f t="shared" si="14"/>
        <v>0</v>
      </c>
      <c r="O50" s="542"/>
    </row>
    <row r="51" spans="4:15" ht="13.5">
      <c r="D51" s="5"/>
      <c r="I51" s="533" t="s">
        <v>90</v>
      </c>
      <c r="J51" s="534"/>
      <c r="K51" s="348">
        <f t="shared" si="11"/>
        <v>0</v>
      </c>
      <c r="L51" s="539">
        <f t="shared" si="12"/>
        <v>0</v>
      </c>
      <c r="M51" s="540">
        <f t="shared" si="13"/>
        <v>0</v>
      </c>
      <c r="N51" s="541">
        <f t="shared" si="14"/>
        <v>0</v>
      </c>
      <c r="O51" s="542"/>
    </row>
    <row r="52" spans="4:15" ht="14.25" thickBot="1">
      <c r="D52" s="5"/>
      <c r="I52" s="547" t="s">
        <v>138</v>
      </c>
      <c r="J52" s="548"/>
      <c r="K52" s="348">
        <f t="shared" si="11"/>
        <v>51930</v>
      </c>
      <c r="L52" s="543">
        <f>SUMIF($E$4:$E$40,$I52,$T$4:$T$40)+'3-3'!F21</f>
        <v>11000</v>
      </c>
      <c r="M52" s="544">
        <f t="shared" si="13"/>
        <v>51930</v>
      </c>
      <c r="N52" s="545">
        <f t="shared" si="14"/>
        <v>40930</v>
      </c>
      <c r="O52" s="546"/>
    </row>
    <row r="53" spans="4:15" ht="15" thickBot="1" thickTop="1">
      <c r="D53" s="5"/>
      <c r="I53" s="549" t="s">
        <v>15</v>
      </c>
      <c r="J53" s="550"/>
      <c r="K53" s="355">
        <f>SUM(K44:K52)</f>
        <v>1190000</v>
      </c>
      <c r="L53" s="535">
        <f>SUM(L44:L52)</f>
        <v>11000</v>
      </c>
      <c r="M53" s="536"/>
      <c r="N53" s="537">
        <f>SUM(N44:N52)</f>
        <v>1179000</v>
      </c>
      <c r="O53" s="538"/>
    </row>
  </sheetData>
  <sheetProtection formatCells="0" selectLockedCells="1"/>
  <mergeCells count="36">
    <mergeCell ref="I42:J42"/>
    <mergeCell ref="L43:M43"/>
    <mergeCell ref="N43:O43"/>
    <mergeCell ref="K2:O2"/>
    <mergeCell ref="F2:J2"/>
    <mergeCell ref="L44:M44"/>
    <mergeCell ref="N44:O44"/>
    <mergeCell ref="I43:J43"/>
    <mergeCell ref="I44:J44"/>
    <mergeCell ref="L45:M45"/>
    <mergeCell ref="N45:O45"/>
    <mergeCell ref="L46:M46"/>
    <mergeCell ref="N46:O46"/>
    <mergeCell ref="I45:J45"/>
    <mergeCell ref="I46:J46"/>
    <mergeCell ref="L47:M47"/>
    <mergeCell ref="N47:O47"/>
    <mergeCell ref="L48:M48"/>
    <mergeCell ref="N48:O48"/>
    <mergeCell ref="I47:J47"/>
    <mergeCell ref="I48:J48"/>
    <mergeCell ref="L49:M49"/>
    <mergeCell ref="N49:O49"/>
    <mergeCell ref="L50:M50"/>
    <mergeCell ref="N50:O50"/>
    <mergeCell ref="I49:J49"/>
    <mergeCell ref="I50:J50"/>
    <mergeCell ref="I51:J51"/>
    <mergeCell ref="L53:M53"/>
    <mergeCell ref="N53:O53"/>
    <mergeCell ref="L51:M51"/>
    <mergeCell ref="N51:O51"/>
    <mergeCell ref="L52:M52"/>
    <mergeCell ref="N52:O52"/>
    <mergeCell ref="I52:J52"/>
    <mergeCell ref="I53:J53"/>
  </mergeCells>
  <conditionalFormatting sqref="B2:E2 J41 J4:J23">
    <cfRule type="cellIs" priority="32" dxfId="29" operator="equal" stopIfTrue="1">
      <formula>0</formula>
    </cfRule>
  </conditionalFormatting>
  <conditionalFormatting sqref="O4:O23 K24:O41">
    <cfRule type="cellIs" priority="30" dxfId="12" operator="notEqual" stopIfTrue="1">
      <formula>F4</formula>
    </cfRule>
  </conditionalFormatting>
  <dataValidations count="2">
    <dataValidation type="list" allowBlank="1" showInputMessage="1" showErrorMessage="1" sqref="E41 I44:I52">
      <formula1>"報償費,旅費,消耗需用費,維持需用費,役務費,委託料,使用料及び賃借料,備品購入費,負担金、補助及び交付金"</formula1>
    </dataValidation>
    <dataValidation type="list" allowBlank="1" showInputMessage="1" showErrorMessage="1" sqref="P41">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H22"/>
  <sheetViews>
    <sheetView showZeros="0" view="pageBreakPreview" zoomScaleSheetLayoutView="100" workbookViewId="0" topLeftCell="A1">
      <pane xSplit="1" ySplit="3" topLeftCell="B4" activePane="bottomRight" state="frozen"/>
      <selection pane="topLeft" activeCell="E4" sqref="E4"/>
      <selection pane="topRight" activeCell="E4" sqref="E4"/>
      <selection pane="bottomLeft" activeCell="E4" sqref="E4"/>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8" ht="24" customHeight="1" thickBot="1">
      <c r="A1" s="569" t="s">
        <v>264</v>
      </c>
      <c r="B1" s="569"/>
      <c r="C1" s="569"/>
      <c r="D1" s="569"/>
      <c r="E1" s="569"/>
      <c r="F1" s="569"/>
      <c r="H1" s="7" t="s">
        <v>301</v>
      </c>
    </row>
    <row r="2" spans="1:6" ht="15" customHeight="1" thickBot="1">
      <c r="A2" s="8"/>
      <c r="B2" s="7" t="s">
        <v>243</v>
      </c>
      <c r="C2" s="87"/>
      <c r="E2" s="72" t="s">
        <v>220</v>
      </c>
      <c r="F2" s="185">
        <f>SUM(E4:E18)</f>
        <v>49930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c r="A17" s="104">
        <v>96</v>
      </c>
      <c r="B17" s="127" t="str">
        <f>IF('1-3'!B99="","",'1-3'!B99)</f>
        <v>大阪</v>
      </c>
      <c r="C17" s="127">
        <f>IF('1-3'!C99="","",'1-3'!C99)</f>
      </c>
      <c r="D17" s="143" t="str">
        <f>IF('1-3'!D99="","",'1-3'!D99)</f>
        <v>大阪府高等学校図書館研究会</v>
      </c>
      <c r="E17" s="210">
        <f>IF('2-3'!H100="",'2-3'!E100,'2-3'!H100)</f>
        <v>3000</v>
      </c>
      <c r="F17" s="83">
        <f>IF('2-3'!I100="",'2-3'!G100,'2-3'!I100)</f>
      </c>
    </row>
    <row r="18" spans="1:6" ht="15" customHeight="1" thickBot="1">
      <c r="A18" s="108">
        <v>97</v>
      </c>
      <c r="B18" s="129" t="str">
        <f>IF('1-3'!B100="","",'1-3'!B100)</f>
        <v>大阪</v>
      </c>
      <c r="C18" s="129">
        <f>IF('1-3'!C100="","",'1-3'!C100)</f>
      </c>
      <c r="D18" s="144" t="str">
        <f>IF('1-3'!D100="","",'1-3'!D100)</f>
        <v>大阪府高等学校生活指導研究会</v>
      </c>
      <c r="E18" s="214">
        <f>IF('2-3'!H101="",'2-3'!E101,'2-3'!H101)</f>
        <v>4000</v>
      </c>
      <c r="F18" s="85">
        <f>IF('2-3'!I101="",'2-3'!G101,'2-3'!I101)</f>
      </c>
    </row>
    <row r="19" spans="4:6" ht="15" customHeight="1" thickBot="1">
      <c r="D19" s="80"/>
      <c r="E19" s="80"/>
      <c r="F19" s="81"/>
    </row>
    <row r="20" spans="4:6" ht="63" customHeight="1">
      <c r="D20" s="80"/>
      <c r="E20" s="10" t="s">
        <v>220</v>
      </c>
      <c r="F20" s="182">
        <f>SUM(E4:E18)</f>
        <v>49930</v>
      </c>
    </row>
    <row r="21" spans="4:6" ht="15" customHeight="1">
      <c r="D21" s="80"/>
      <c r="E21" s="39" t="s">
        <v>176</v>
      </c>
      <c r="F21" s="183">
        <f>SUMIF($F$4:$F$18,"◎",$E$4:$E$18)</f>
        <v>11000</v>
      </c>
    </row>
    <row r="22" spans="4:6" ht="63" customHeight="1" thickBot="1">
      <c r="D22" s="80"/>
      <c r="E22" s="82" t="s">
        <v>13</v>
      </c>
      <c r="F22" s="184">
        <f>F20-F21</f>
        <v>38930</v>
      </c>
    </row>
  </sheetData>
  <sheetProtection formatCells="0" selectLockedCells="1"/>
  <mergeCells count="1">
    <mergeCell ref="A1:F1"/>
  </mergeCells>
  <conditionalFormatting sqref="E4:F18">
    <cfRule type="cellIs" priority="35" dxfId="15"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9" t="s">
        <v>301</v>
      </c>
      <c r="I1" s="509"/>
      <c r="J1" s="509"/>
      <c r="K1" s="509"/>
    </row>
    <row r="2" spans="8:11" s="1" customFormat="1" ht="18" customHeight="1">
      <c r="H2" s="509" t="s">
        <v>302</v>
      </c>
      <c r="I2" s="509"/>
      <c r="J2" s="509"/>
      <c r="K2" s="509"/>
    </row>
    <row r="3" s="1" customFormat="1" ht="18" customHeight="1">
      <c r="K3" s="2"/>
    </row>
    <row r="4" spans="8:11" s="1" customFormat="1" ht="18" customHeight="1">
      <c r="H4" s="510" t="s">
        <v>303</v>
      </c>
      <c r="I4" s="510"/>
      <c r="J4" s="510"/>
      <c r="K4" s="510"/>
    </row>
    <row r="5" spans="8:11" s="1" customFormat="1" ht="18" customHeight="1">
      <c r="H5" s="511">
        <v>42873</v>
      </c>
      <c r="I5" s="510"/>
      <c r="J5" s="510"/>
      <c r="K5" s="510"/>
    </row>
    <row r="6" spans="1:11" s="1" customFormat="1" ht="18" customHeight="1">
      <c r="A6" s="3" t="s">
        <v>2</v>
      </c>
      <c r="H6" s="4"/>
      <c r="K6" s="11"/>
    </row>
    <row r="7" spans="1:11" s="1" customFormat="1" ht="18" customHeight="1">
      <c r="A7" s="4"/>
      <c r="H7" s="510" t="s">
        <v>323</v>
      </c>
      <c r="I7" s="510"/>
      <c r="J7" s="510"/>
      <c r="K7" s="510"/>
    </row>
    <row r="8" spans="1:11" s="1" customFormat="1" ht="18" customHeight="1">
      <c r="A8" s="4"/>
      <c r="H8" s="510" t="s">
        <v>300</v>
      </c>
      <c r="I8" s="510"/>
      <c r="J8" s="510"/>
      <c r="K8" s="510"/>
    </row>
    <row r="9" spans="1:11" s="1" customFormat="1" ht="42" customHeight="1">
      <c r="A9" s="4"/>
      <c r="H9" s="2"/>
      <c r="K9" s="46"/>
    </row>
    <row r="10" spans="1:11" ht="24" customHeight="1">
      <c r="A10" s="499" t="s">
        <v>255</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2" t="s">
        <v>84</v>
      </c>
      <c r="B14" s="573"/>
      <c r="C14" s="574"/>
      <c r="D14" s="575">
        <v>1190000</v>
      </c>
      <c r="E14" s="576"/>
      <c r="F14" s="577"/>
      <c r="G14" s="578"/>
      <c r="H14" s="579"/>
      <c r="I14" s="579"/>
      <c r="J14" s="579"/>
      <c r="K14" s="6"/>
    </row>
    <row r="15" spans="1:11" ht="39" customHeight="1" thickBot="1">
      <c r="A15" s="19"/>
      <c r="B15" s="18" t="s">
        <v>8</v>
      </c>
      <c r="C15" s="17" t="s">
        <v>9</v>
      </c>
      <c r="D15" s="16" t="s">
        <v>124</v>
      </c>
      <c r="E15" s="16" t="s">
        <v>123</v>
      </c>
      <c r="F15" s="17" t="s">
        <v>10</v>
      </c>
      <c r="G15" s="17" t="s">
        <v>11</v>
      </c>
      <c r="H15" s="449" t="s">
        <v>248</v>
      </c>
      <c r="I15" s="16" t="s">
        <v>12</v>
      </c>
      <c r="J15" s="448" t="s">
        <v>252</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4">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v>440000</v>
      </c>
      <c r="C18" s="322">
        <v>132000</v>
      </c>
      <c r="D18" s="322">
        <v>150210</v>
      </c>
      <c r="E18" s="322">
        <f>'1-2'!G110</f>
        <v>0</v>
      </c>
      <c r="F18" s="322">
        <v>17000</v>
      </c>
      <c r="G18" s="322">
        <v>49360</v>
      </c>
      <c r="H18" s="322">
        <f>'1-2'!G113</f>
        <v>0</v>
      </c>
      <c r="I18" s="322">
        <f>'1-2'!G114</f>
        <v>0</v>
      </c>
      <c r="J18" s="436">
        <v>51430</v>
      </c>
      <c r="K18" s="437">
        <f t="shared" si="0"/>
        <v>840000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v>11000</v>
      </c>
      <c r="K19" s="441">
        <f t="shared" si="0"/>
        <v>11000</v>
      </c>
    </row>
    <row r="20" spans="1:11" ht="58.5" customHeight="1" thickBot="1">
      <c r="A20" s="32" t="s">
        <v>103</v>
      </c>
      <c r="B20" s="442">
        <f>B18-B19</f>
        <v>440000</v>
      </c>
      <c r="C20" s="443">
        <f>C18-C19</f>
        <v>132000</v>
      </c>
      <c r="D20" s="443">
        <f aca="true" t="shared" si="1" ref="D20:J20">D18-D19</f>
        <v>150210</v>
      </c>
      <c r="E20" s="443">
        <f t="shared" si="1"/>
        <v>0</v>
      </c>
      <c r="F20" s="443">
        <f t="shared" si="1"/>
        <v>17000</v>
      </c>
      <c r="G20" s="443">
        <f t="shared" si="1"/>
        <v>49360</v>
      </c>
      <c r="H20" s="443">
        <f t="shared" si="1"/>
        <v>0</v>
      </c>
      <c r="I20" s="443">
        <f t="shared" si="1"/>
        <v>0</v>
      </c>
      <c r="J20" s="443">
        <f t="shared" si="1"/>
        <v>40430</v>
      </c>
      <c r="K20" s="444">
        <f t="shared" si="0"/>
        <v>829000</v>
      </c>
    </row>
    <row r="21" spans="1:11" ht="58.5" customHeight="1" thickBot="1">
      <c r="A21" s="32" t="s">
        <v>102</v>
      </c>
      <c r="B21" s="442">
        <v>440000</v>
      </c>
      <c r="C21" s="442">
        <f aca="true" t="shared" si="2" ref="C21:J21">C16+C18</f>
        <v>132000</v>
      </c>
      <c r="D21" s="442">
        <f t="shared" si="2"/>
        <v>150210</v>
      </c>
      <c r="E21" s="442">
        <f t="shared" si="2"/>
        <v>0</v>
      </c>
      <c r="F21" s="442">
        <f t="shared" si="2"/>
        <v>17000</v>
      </c>
      <c r="G21" s="442">
        <f t="shared" si="2"/>
        <v>49360</v>
      </c>
      <c r="H21" s="442">
        <f t="shared" si="2"/>
        <v>0</v>
      </c>
      <c r="I21" s="442">
        <f t="shared" si="2"/>
        <v>0</v>
      </c>
      <c r="J21" s="442">
        <f t="shared" si="2"/>
        <v>51430</v>
      </c>
      <c r="K21" s="444">
        <f t="shared" si="0"/>
        <v>840000</v>
      </c>
    </row>
    <row r="22" spans="1:11" ht="58.5" customHeight="1">
      <c r="A22" s="30" t="s">
        <v>163</v>
      </c>
      <c r="B22" s="445">
        <v>100000</v>
      </c>
      <c r="C22" s="341">
        <v>250000</v>
      </c>
      <c r="D22" s="341">
        <v>0</v>
      </c>
      <c r="E22" s="341"/>
      <c r="F22" s="341"/>
      <c r="G22" s="341"/>
      <c r="H22" s="341"/>
      <c r="I22" s="341"/>
      <c r="J22" s="446"/>
      <c r="K22" s="434">
        <f t="shared" si="0"/>
        <v>350000</v>
      </c>
    </row>
    <row r="23" spans="1:11" ht="58.5" customHeight="1" thickBot="1">
      <c r="A23" s="22" t="s">
        <v>164</v>
      </c>
      <c r="B23" s="220">
        <f>B21+B22</f>
        <v>540000</v>
      </c>
      <c r="C23" s="221">
        <f>C21+C22</f>
        <v>382000</v>
      </c>
      <c r="D23" s="221">
        <f aca="true" t="shared" si="3" ref="D23:J23">D21+D22</f>
        <v>150210</v>
      </c>
      <c r="E23" s="221">
        <f t="shared" si="3"/>
        <v>0</v>
      </c>
      <c r="F23" s="221">
        <f t="shared" si="3"/>
        <v>17000</v>
      </c>
      <c r="G23" s="221">
        <f t="shared" si="3"/>
        <v>49360</v>
      </c>
      <c r="H23" s="221">
        <f t="shared" si="3"/>
        <v>0</v>
      </c>
      <c r="I23" s="221">
        <f t="shared" si="3"/>
        <v>0</v>
      </c>
      <c r="J23" s="221">
        <f t="shared" si="3"/>
        <v>51430</v>
      </c>
      <c r="K23" s="223">
        <f t="shared" si="0"/>
        <v>1190000</v>
      </c>
    </row>
    <row r="24" spans="1:11" ht="39" customHeight="1" thickBot="1">
      <c r="A24" s="32" t="s">
        <v>104</v>
      </c>
      <c r="B24" s="570" t="s">
        <v>122</v>
      </c>
      <c r="C24" s="570"/>
      <c r="D24" s="570"/>
      <c r="E24" s="570"/>
      <c r="F24" s="570"/>
      <c r="G24" s="570"/>
      <c r="H24" s="570"/>
      <c r="I24" s="570"/>
      <c r="J24" s="570"/>
      <c r="K24" s="571"/>
    </row>
  </sheetData>
  <sheetProtection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9"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100" activePane="bottomLeft" state="frozen"/>
      <selection pane="topLeft" activeCell="C18" sqref="C18"/>
      <selection pane="bottomLeft" activeCell="F99" sqref="F99"/>
    </sheetView>
  </sheetViews>
  <sheetFormatPr defaultColWidth="9.00390625" defaultRowHeight="13.5"/>
  <cols>
    <col min="1" max="1" width="4.125" style="5" customWidth="1"/>
    <col min="2" max="2" width="11.625" style="5" customWidth="1"/>
    <col min="3" max="3" width="21.5039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5" t="s">
        <v>142</v>
      </c>
      <c r="C3" s="60" t="s">
        <v>144</v>
      </c>
      <c r="D3" s="96" t="s">
        <v>146</v>
      </c>
      <c r="E3" s="96" t="s">
        <v>0</v>
      </c>
      <c r="F3" s="96" t="s">
        <v>198</v>
      </c>
      <c r="G3" s="96" t="s">
        <v>91</v>
      </c>
      <c r="H3" s="475" t="s">
        <v>245</v>
      </c>
      <c r="I3" s="96" t="s">
        <v>92</v>
      </c>
      <c r="J3" s="96" t="s">
        <v>93</v>
      </c>
      <c r="K3" s="228" t="s">
        <v>111</v>
      </c>
      <c r="L3" s="296" t="s">
        <v>94</v>
      </c>
      <c r="M3" s="29" t="s">
        <v>99</v>
      </c>
    </row>
    <row r="4" spans="1:13" ht="13.5" customHeight="1">
      <c r="A4" s="241">
        <v>1</v>
      </c>
      <c r="B4" s="242" t="s">
        <v>271</v>
      </c>
      <c r="C4" s="486" t="s">
        <v>272</v>
      </c>
      <c r="D4" s="244">
        <v>1</v>
      </c>
      <c r="E4" s="245" t="s">
        <v>11</v>
      </c>
      <c r="F4" s="246" t="s">
        <v>273</v>
      </c>
      <c r="G4" s="247">
        <v>49360</v>
      </c>
      <c r="H4" s="248">
        <v>1</v>
      </c>
      <c r="I4" s="248">
        <v>1</v>
      </c>
      <c r="J4" s="249">
        <f>G4*H4*I4</f>
        <v>49360</v>
      </c>
      <c r="K4" s="250"/>
      <c r="L4" s="251"/>
      <c r="M4" s="29">
        <f aca="true" t="shared" si="0" ref="M4:M67">IF(K4="◎",J4,"")</f>
      </c>
    </row>
    <row r="5" spans="1:13" ht="13.5" customHeight="1">
      <c r="A5" s="252"/>
      <c r="B5" s="253"/>
      <c r="C5" s="254"/>
      <c r="D5" s="255">
        <v>2</v>
      </c>
      <c r="E5" s="256" t="s">
        <v>86</v>
      </c>
      <c r="F5" s="257" t="s">
        <v>274</v>
      </c>
      <c r="G5" s="258">
        <v>30000</v>
      </c>
      <c r="H5" s="259">
        <v>1</v>
      </c>
      <c r="I5" s="259">
        <v>1</v>
      </c>
      <c r="J5" s="260">
        <f>G5*H5*I5</f>
        <v>30000</v>
      </c>
      <c r="K5" s="261"/>
      <c r="L5" s="262"/>
      <c r="M5" s="29">
        <f t="shared" si="0"/>
      </c>
    </row>
    <row r="6" spans="1:13" ht="13.5" customHeight="1">
      <c r="A6" s="252"/>
      <c r="B6" s="253"/>
      <c r="C6" s="263"/>
      <c r="D6" s="255">
        <v>3</v>
      </c>
      <c r="E6" s="256"/>
      <c r="F6" s="257"/>
      <c r="G6" s="258"/>
      <c r="H6" s="259"/>
      <c r="I6" s="259"/>
      <c r="J6" s="260">
        <f aca="true" t="shared" si="1" ref="J6:J69">G6*H6*I6</f>
        <v>0</v>
      </c>
      <c r="K6" s="261"/>
      <c r="L6" s="262"/>
      <c r="M6" s="29">
        <f t="shared" si="0"/>
      </c>
    </row>
    <row r="7" spans="1:13" ht="13.5" customHeight="1">
      <c r="A7" s="252"/>
      <c r="B7" s="253" t="s">
        <v>275</v>
      </c>
      <c r="C7" s="254" t="s">
        <v>276</v>
      </c>
      <c r="D7" s="255">
        <v>4</v>
      </c>
      <c r="E7" s="256" t="s">
        <v>86</v>
      </c>
      <c r="F7" s="257" t="s">
        <v>277</v>
      </c>
      <c r="G7" s="258">
        <v>400</v>
      </c>
      <c r="H7" s="259">
        <v>50</v>
      </c>
      <c r="I7" s="259">
        <v>1</v>
      </c>
      <c r="J7" s="260">
        <f>G7*H7*I7</f>
        <v>20000</v>
      </c>
      <c r="K7" s="261"/>
      <c r="L7" s="262"/>
      <c r="M7" s="29">
        <f t="shared" si="0"/>
      </c>
    </row>
    <row r="8" spans="1:13" ht="13.5" customHeight="1">
      <c r="A8" s="252"/>
      <c r="B8" s="253"/>
      <c r="C8" s="254"/>
      <c r="D8" s="264">
        <v>5</v>
      </c>
      <c r="E8" s="256" t="s">
        <v>87</v>
      </c>
      <c r="F8" s="257" t="s">
        <v>278</v>
      </c>
      <c r="G8" s="258">
        <v>3880</v>
      </c>
      <c r="H8" s="259">
        <v>1</v>
      </c>
      <c r="I8" s="259">
        <v>1</v>
      </c>
      <c r="J8" s="260">
        <f>G8*H8*I8</f>
        <v>3880</v>
      </c>
      <c r="K8" s="261"/>
      <c r="L8" s="262"/>
      <c r="M8" s="29">
        <f t="shared" si="0"/>
      </c>
    </row>
    <row r="9" spans="1:13" ht="13.5" customHeight="1">
      <c r="A9" s="252"/>
      <c r="B9" s="253"/>
      <c r="C9" s="254"/>
      <c r="D9" s="255">
        <v>6</v>
      </c>
      <c r="E9" s="256"/>
      <c r="F9" s="257"/>
      <c r="G9" s="258"/>
      <c r="H9" s="259"/>
      <c r="I9" s="259"/>
      <c r="J9" s="260">
        <f t="shared" si="1"/>
        <v>0</v>
      </c>
      <c r="K9" s="261"/>
      <c r="L9" s="262"/>
      <c r="M9" s="29">
        <f t="shared" si="0"/>
      </c>
    </row>
    <row r="10" spans="1:13" ht="13.5" customHeight="1">
      <c r="A10" s="252"/>
      <c r="B10" s="253"/>
      <c r="C10" s="485"/>
      <c r="D10" s="255">
        <v>7</v>
      </c>
      <c r="E10" s="257"/>
      <c r="F10" s="257"/>
      <c r="G10" s="258"/>
      <c r="H10" s="259"/>
      <c r="I10" s="259"/>
      <c r="J10" s="260">
        <f t="shared" si="1"/>
        <v>0</v>
      </c>
      <c r="K10" s="261"/>
      <c r="L10" s="262"/>
      <c r="M10" s="29">
        <f t="shared" si="0"/>
      </c>
    </row>
    <row r="11" spans="1:13" ht="24" customHeight="1">
      <c r="A11" s="252"/>
      <c r="B11" s="253" t="s">
        <v>285</v>
      </c>
      <c r="C11" s="484" t="s">
        <v>286</v>
      </c>
      <c r="D11" s="264">
        <v>8</v>
      </c>
      <c r="E11" s="265" t="s">
        <v>85</v>
      </c>
      <c r="F11" s="265" t="s">
        <v>280</v>
      </c>
      <c r="G11" s="266">
        <v>5000</v>
      </c>
      <c r="H11" s="267">
        <v>1</v>
      </c>
      <c r="I11" s="267">
        <v>4</v>
      </c>
      <c r="J11" s="260">
        <f t="shared" si="1"/>
        <v>20000</v>
      </c>
      <c r="K11" s="268"/>
      <c r="L11" s="269"/>
      <c r="M11" s="29">
        <f t="shared" si="0"/>
      </c>
    </row>
    <row r="12" spans="1:13" ht="13.5" customHeight="1">
      <c r="A12" s="252"/>
      <c r="B12" s="253"/>
      <c r="C12" s="254"/>
      <c r="D12" s="264">
        <v>9</v>
      </c>
      <c r="E12" s="256" t="s">
        <v>85</v>
      </c>
      <c r="F12" s="256" t="s">
        <v>279</v>
      </c>
      <c r="G12" s="270">
        <v>5000</v>
      </c>
      <c r="H12" s="271">
        <v>1</v>
      </c>
      <c r="I12" s="271">
        <v>60</v>
      </c>
      <c r="J12" s="260">
        <f t="shared" si="1"/>
        <v>300000</v>
      </c>
      <c r="K12" s="272"/>
      <c r="L12" s="273"/>
      <c r="M12" s="29">
        <f t="shared" si="0"/>
      </c>
    </row>
    <row r="13" spans="1:13" ht="13.5" customHeight="1">
      <c r="A13" s="252"/>
      <c r="B13" s="253"/>
      <c r="C13" s="254"/>
      <c r="D13" s="274">
        <v>10</v>
      </c>
      <c r="E13" s="256" t="s">
        <v>85</v>
      </c>
      <c r="F13" s="256" t="s">
        <v>281</v>
      </c>
      <c r="G13" s="270">
        <v>20000</v>
      </c>
      <c r="H13" s="271">
        <v>1</v>
      </c>
      <c r="I13" s="271">
        <v>1</v>
      </c>
      <c r="J13" s="260">
        <f t="shared" si="1"/>
        <v>20000</v>
      </c>
      <c r="K13" s="261"/>
      <c r="L13" s="262"/>
      <c r="M13" s="29">
        <f t="shared" si="0"/>
      </c>
    </row>
    <row r="14" spans="1:13" ht="13.5" customHeight="1">
      <c r="A14" s="252"/>
      <c r="B14" s="253"/>
      <c r="C14" s="254"/>
      <c r="D14" s="255">
        <v>11</v>
      </c>
      <c r="E14" s="257" t="s">
        <v>85</v>
      </c>
      <c r="F14" s="257" t="s">
        <v>282</v>
      </c>
      <c r="G14" s="258">
        <v>5000</v>
      </c>
      <c r="H14" s="259">
        <v>1</v>
      </c>
      <c r="I14" s="259">
        <v>40</v>
      </c>
      <c r="J14" s="260">
        <f t="shared" si="1"/>
        <v>200000</v>
      </c>
      <c r="K14" s="275"/>
      <c r="L14" s="262"/>
      <c r="M14" s="29">
        <f t="shared" si="0"/>
      </c>
    </row>
    <row r="15" spans="1:13" ht="13.5" customHeight="1">
      <c r="A15" s="252"/>
      <c r="B15" s="253"/>
      <c r="C15" s="254"/>
      <c r="D15" s="255">
        <v>12</v>
      </c>
      <c r="E15" s="276" t="s">
        <v>86</v>
      </c>
      <c r="F15" s="276" t="s">
        <v>283</v>
      </c>
      <c r="G15" s="277">
        <v>7000</v>
      </c>
      <c r="H15" s="278">
        <v>1</v>
      </c>
      <c r="I15" s="278">
        <v>1</v>
      </c>
      <c r="J15" s="260">
        <f t="shared" si="1"/>
        <v>7000</v>
      </c>
      <c r="K15" s="279"/>
      <c r="L15" s="280"/>
      <c r="M15" s="29">
        <f t="shared" si="0"/>
      </c>
    </row>
    <row r="16" spans="1:13" ht="13.5" customHeight="1">
      <c r="A16" s="252"/>
      <c r="B16" s="253"/>
      <c r="C16" s="254"/>
      <c r="D16" s="255">
        <v>13</v>
      </c>
      <c r="E16" s="257" t="s">
        <v>125</v>
      </c>
      <c r="F16" s="257" t="s">
        <v>284</v>
      </c>
      <c r="G16" s="258">
        <v>5000</v>
      </c>
      <c r="H16" s="259">
        <v>1</v>
      </c>
      <c r="I16" s="259">
        <v>1</v>
      </c>
      <c r="J16" s="260">
        <f t="shared" si="1"/>
        <v>5000</v>
      </c>
      <c r="K16" s="261"/>
      <c r="L16" s="262"/>
      <c r="M16" s="29">
        <f t="shared" si="0"/>
      </c>
    </row>
    <row r="17" spans="1:13" ht="13.5" customHeight="1">
      <c r="A17" s="252"/>
      <c r="B17" s="253"/>
      <c r="C17" s="254"/>
      <c r="D17" s="255">
        <v>14</v>
      </c>
      <c r="E17" s="257"/>
      <c r="F17" s="257"/>
      <c r="G17" s="258"/>
      <c r="H17" s="259"/>
      <c r="I17" s="259"/>
      <c r="J17" s="260">
        <f t="shared" si="1"/>
        <v>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21.75" customHeight="1">
      <c r="A19" s="252"/>
      <c r="B19" s="253" t="s">
        <v>287</v>
      </c>
      <c r="C19" s="484" t="s">
        <v>288</v>
      </c>
      <c r="D19" s="255">
        <v>16</v>
      </c>
      <c r="E19" s="257" t="s">
        <v>86</v>
      </c>
      <c r="F19" s="257" t="s">
        <v>289</v>
      </c>
      <c r="G19" s="258">
        <v>55000</v>
      </c>
      <c r="H19" s="259">
        <v>1</v>
      </c>
      <c r="I19" s="259">
        <v>1</v>
      </c>
      <c r="J19" s="260">
        <f t="shared" si="1"/>
        <v>55000</v>
      </c>
      <c r="K19" s="261"/>
      <c r="L19" s="262"/>
      <c r="M19" s="29">
        <f t="shared" si="0"/>
      </c>
    </row>
    <row r="20" spans="1:13" ht="13.5" customHeight="1">
      <c r="A20" s="252"/>
      <c r="B20" s="253"/>
      <c r="C20" s="254"/>
      <c r="D20" s="255">
        <v>17</v>
      </c>
      <c r="E20" s="257" t="s">
        <v>86</v>
      </c>
      <c r="F20" s="257" t="s">
        <v>290</v>
      </c>
      <c r="G20" s="258">
        <v>400</v>
      </c>
      <c r="H20" s="259">
        <v>50</v>
      </c>
      <c r="I20" s="259">
        <v>1</v>
      </c>
      <c r="J20" s="260">
        <f t="shared" si="1"/>
        <v>20000</v>
      </c>
      <c r="K20" s="261"/>
      <c r="L20" s="262"/>
      <c r="M20" s="29">
        <f t="shared" si="0"/>
      </c>
    </row>
    <row r="21" spans="1:13" ht="13.5" customHeight="1">
      <c r="A21" s="252"/>
      <c r="B21" s="253"/>
      <c r="C21" s="254"/>
      <c r="D21" s="255">
        <v>18</v>
      </c>
      <c r="E21" s="257" t="s">
        <v>125</v>
      </c>
      <c r="F21" s="257" t="s">
        <v>291</v>
      </c>
      <c r="G21" s="258">
        <v>3000</v>
      </c>
      <c r="H21" s="259">
        <v>1</v>
      </c>
      <c r="I21" s="259">
        <v>1</v>
      </c>
      <c r="J21" s="260">
        <f t="shared" si="1"/>
        <v>3000</v>
      </c>
      <c r="K21" s="261"/>
      <c r="L21" s="262"/>
      <c r="M21" s="29">
        <f t="shared" si="0"/>
      </c>
    </row>
    <row r="22" spans="1:13" ht="13.5" customHeight="1">
      <c r="A22" s="252"/>
      <c r="B22" s="253"/>
      <c r="C22" s="254"/>
      <c r="D22" s="255">
        <v>19</v>
      </c>
      <c r="E22" s="257" t="s">
        <v>125</v>
      </c>
      <c r="F22" s="257" t="s">
        <v>292</v>
      </c>
      <c r="G22" s="258">
        <v>42000</v>
      </c>
      <c r="H22" s="259">
        <v>1</v>
      </c>
      <c r="I22" s="259">
        <v>1</v>
      </c>
      <c r="J22" s="260">
        <f t="shared" si="1"/>
        <v>42000</v>
      </c>
      <c r="K22" s="261"/>
      <c r="L22" s="262"/>
      <c r="M22" s="29">
        <f t="shared" si="0"/>
      </c>
    </row>
    <row r="23" spans="1:13" ht="13.5" customHeight="1">
      <c r="A23" s="252"/>
      <c r="B23" s="253"/>
      <c r="C23" s="254"/>
      <c r="D23" s="255">
        <v>20</v>
      </c>
      <c r="E23" s="257" t="s">
        <v>125</v>
      </c>
      <c r="F23" s="257" t="s">
        <v>293</v>
      </c>
      <c r="G23" s="258">
        <v>50210</v>
      </c>
      <c r="H23" s="259">
        <v>1</v>
      </c>
      <c r="I23" s="259">
        <v>1</v>
      </c>
      <c r="J23" s="260">
        <f t="shared" si="1"/>
        <v>50210</v>
      </c>
      <c r="K23" s="261"/>
      <c r="L23" s="262"/>
      <c r="M23" s="29">
        <f t="shared" si="0"/>
      </c>
    </row>
    <row r="24" spans="1:13" ht="13.5" customHeight="1">
      <c r="A24" s="252"/>
      <c r="B24" s="281"/>
      <c r="C24" s="254"/>
      <c r="D24" s="255">
        <v>21</v>
      </c>
      <c r="E24" s="256" t="s">
        <v>125</v>
      </c>
      <c r="F24" s="257" t="s">
        <v>294</v>
      </c>
      <c r="G24" s="258">
        <v>50000</v>
      </c>
      <c r="H24" s="259">
        <v>1</v>
      </c>
      <c r="I24" s="259">
        <v>1</v>
      </c>
      <c r="J24" s="260">
        <f t="shared" si="1"/>
        <v>50000</v>
      </c>
      <c r="K24" s="261"/>
      <c r="L24" s="262"/>
      <c r="M24" s="29">
        <f t="shared" si="0"/>
      </c>
    </row>
    <row r="25" spans="1:13" ht="13.5" customHeight="1">
      <c r="A25" s="252"/>
      <c r="B25" s="281"/>
      <c r="C25" s="254"/>
      <c r="D25" s="255">
        <v>22</v>
      </c>
      <c r="E25" s="256" t="s">
        <v>87</v>
      </c>
      <c r="F25" s="257" t="s">
        <v>295</v>
      </c>
      <c r="G25" s="258">
        <v>82</v>
      </c>
      <c r="H25" s="259">
        <v>80</v>
      </c>
      <c r="I25" s="259">
        <v>1</v>
      </c>
      <c r="J25" s="260">
        <f t="shared" si="1"/>
        <v>6560</v>
      </c>
      <c r="K25" s="261"/>
      <c r="L25" s="262"/>
      <c r="M25" s="29">
        <f t="shared" si="0"/>
      </c>
    </row>
    <row r="26" spans="1:13" ht="13.5" customHeight="1">
      <c r="A26" s="252"/>
      <c r="B26" s="281"/>
      <c r="C26" s="254"/>
      <c r="D26" s="255">
        <v>23</v>
      </c>
      <c r="E26" s="256" t="s">
        <v>87</v>
      </c>
      <c r="F26" s="257" t="s">
        <v>296</v>
      </c>
      <c r="G26" s="258">
        <v>82</v>
      </c>
      <c r="H26" s="259">
        <v>80</v>
      </c>
      <c r="I26" s="259">
        <v>1</v>
      </c>
      <c r="J26" s="260">
        <f t="shared" si="1"/>
        <v>6560</v>
      </c>
      <c r="K26" s="261"/>
      <c r="L26" s="262"/>
      <c r="M26" s="29">
        <f t="shared" si="0"/>
      </c>
    </row>
    <row r="27" spans="1:13" ht="13.5" customHeight="1">
      <c r="A27" s="252"/>
      <c r="B27" s="281"/>
      <c r="C27" s="254"/>
      <c r="D27" s="255">
        <v>24</v>
      </c>
      <c r="E27" s="256" t="s">
        <v>138</v>
      </c>
      <c r="F27" s="257" t="s">
        <v>297</v>
      </c>
      <c r="G27" s="258">
        <v>49430</v>
      </c>
      <c r="H27" s="259">
        <v>1</v>
      </c>
      <c r="I27" s="259">
        <v>1</v>
      </c>
      <c r="J27" s="260">
        <f t="shared" si="1"/>
        <v>49430</v>
      </c>
      <c r="K27" s="261"/>
      <c r="L27" s="262"/>
      <c r="M27" s="29">
        <f t="shared" si="0"/>
      </c>
    </row>
    <row r="28" spans="1:13" ht="13.5" customHeight="1">
      <c r="A28" s="252"/>
      <c r="B28" s="281"/>
      <c r="C28" s="254"/>
      <c r="D28" s="264">
        <v>25</v>
      </c>
      <c r="E28" s="256" t="s">
        <v>138</v>
      </c>
      <c r="F28" s="257" t="s">
        <v>298</v>
      </c>
      <c r="G28" s="258">
        <v>2000</v>
      </c>
      <c r="H28" s="259">
        <v>1</v>
      </c>
      <c r="I28" s="259">
        <v>1</v>
      </c>
      <c r="J28" s="260">
        <f t="shared" si="1"/>
        <v>2000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86" t="s">
        <v>176</v>
      </c>
      <c r="I106" s="586"/>
      <c r="J106" s="586" t="s">
        <v>173</v>
      </c>
      <c r="K106" s="587"/>
    </row>
    <row r="107" spans="4:11" ht="14.25" thickTop="1">
      <c r="D107" s="67"/>
      <c r="F107" s="297" t="s">
        <v>85</v>
      </c>
      <c r="G107" s="227">
        <f>SUMIF($E$4:$E$103,F107,$J$4:$J$103)</f>
        <v>540000</v>
      </c>
      <c r="H107" s="588">
        <f>SUMIF($E$4:$E$103,F107,$M$4:$M$103)</f>
        <v>0</v>
      </c>
      <c r="I107" s="588"/>
      <c r="J107" s="588">
        <f aca="true" t="shared" si="5" ref="J107:J115">G107-H107</f>
        <v>540000</v>
      </c>
      <c r="K107" s="589"/>
    </row>
    <row r="108" spans="4:11" ht="13.5">
      <c r="D108" s="67"/>
      <c r="F108" s="298" t="s">
        <v>86</v>
      </c>
      <c r="G108" s="227">
        <f aca="true" t="shared" si="6" ref="G108:G115">SUMIF($E$4:$E$103,F108,$J$4:$J$103)</f>
        <v>132000</v>
      </c>
      <c r="H108" s="580">
        <f aca="true" t="shared" si="7" ref="H108:H114">SUMIF($E$4:$E$103,F108,$M$4:$M$103)</f>
        <v>0</v>
      </c>
      <c r="I108" s="580"/>
      <c r="J108" s="580">
        <f t="shared" si="5"/>
        <v>132000</v>
      </c>
      <c r="K108" s="581"/>
    </row>
    <row r="109" spans="4:11" ht="13.5">
      <c r="D109" s="67"/>
      <c r="F109" s="298" t="s">
        <v>125</v>
      </c>
      <c r="G109" s="227">
        <f t="shared" si="6"/>
        <v>150210</v>
      </c>
      <c r="H109" s="580">
        <f t="shared" si="7"/>
        <v>0</v>
      </c>
      <c r="I109" s="580"/>
      <c r="J109" s="580">
        <f t="shared" si="5"/>
        <v>150210</v>
      </c>
      <c r="K109" s="581"/>
    </row>
    <row r="110" spans="4:11" ht="13.5">
      <c r="D110" s="67"/>
      <c r="F110" s="298" t="s">
        <v>126</v>
      </c>
      <c r="G110" s="227">
        <f t="shared" si="6"/>
        <v>0</v>
      </c>
      <c r="H110" s="580">
        <f t="shared" si="7"/>
        <v>0</v>
      </c>
      <c r="I110" s="580"/>
      <c r="J110" s="580">
        <f t="shared" si="5"/>
        <v>0</v>
      </c>
      <c r="K110" s="581"/>
    </row>
    <row r="111" spans="4:11" ht="13.5">
      <c r="D111" s="67"/>
      <c r="F111" s="298" t="s">
        <v>87</v>
      </c>
      <c r="G111" s="227">
        <f t="shared" si="6"/>
        <v>17000</v>
      </c>
      <c r="H111" s="580">
        <f t="shared" si="7"/>
        <v>0</v>
      </c>
      <c r="I111" s="580"/>
      <c r="J111" s="580">
        <f t="shared" si="5"/>
        <v>17000</v>
      </c>
      <c r="K111" s="581"/>
    </row>
    <row r="112" spans="4:11" ht="13.5">
      <c r="D112" s="67"/>
      <c r="F112" s="298" t="s">
        <v>88</v>
      </c>
      <c r="G112" s="227">
        <f t="shared" si="6"/>
        <v>49360</v>
      </c>
      <c r="H112" s="580">
        <f t="shared" si="7"/>
        <v>0</v>
      </c>
      <c r="I112" s="580"/>
      <c r="J112" s="580">
        <f t="shared" si="5"/>
        <v>49360</v>
      </c>
      <c r="K112" s="581"/>
    </row>
    <row r="113" spans="4:11" ht="13.5">
      <c r="D113" s="67"/>
      <c r="F113" s="298" t="s">
        <v>89</v>
      </c>
      <c r="G113" s="227">
        <f t="shared" si="6"/>
        <v>0</v>
      </c>
      <c r="H113" s="580">
        <f t="shared" si="7"/>
        <v>0</v>
      </c>
      <c r="I113" s="580"/>
      <c r="J113" s="580">
        <f t="shared" si="5"/>
        <v>0</v>
      </c>
      <c r="K113" s="581"/>
    </row>
    <row r="114" spans="4:11" ht="13.5">
      <c r="D114" s="67"/>
      <c r="F114" s="298" t="s">
        <v>90</v>
      </c>
      <c r="G114" s="227">
        <f t="shared" si="6"/>
        <v>0</v>
      </c>
      <c r="H114" s="580">
        <f t="shared" si="7"/>
        <v>0</v>
      </c>
      <c r="I114" s="580"/>
      <c r="J114" s="580">
        <f t="shared" si="5"/>
        <v>0</v>
      </c>
      <c r="K114" s="581"/>
    </row>
    <row r="115" spans="4:11" ht="14.25" thickBot="1">
      <c r="D115" s="67"/>
      <c r="F115" s="429" t="s">
        <v>138</v>
      </c>
      <c r="G115" s="430">
        <f t="shared" si="6"/>
        <v>51430</v>
      </c>
      <c r="H115" s="582">
        <v>1100</v>
      </c>
      <c r="I115" s="582"/>
      <c r="J115" s="582">
        <f t="shared" si="5"/>
        <v>50330</v>
      </c>
      <c r="K115" s="583"/>
    </row>
    <row r="116" spans="4:11" ht="15" thickBot="1" thickTop="1">
      <c r="D116" s="47"/>
      <c r="F116" s="427" t="s">
        <v>15</v>
      </c>
      <c r="G116" s="428">
        <f>SUM(G107:G115)</f>
        <v>940000</v>
      </c>
      <c r="H116" s="584">
        <f>SUM(H107:I115)</f>
        <v>1100</v>
      </c>
      <c r="I116" s="584"/>
      <c r="J116" s="584">
        <f>SUM(J107:K115)</f>
        <v>938900</v>
      </c>
      <c r="K116" s="585"/>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9"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64" activePane="bottomLeft" state="frozen"/>
      <selection pane="topLeft" activeCell="B16" sqref="B16:K23"/>
      <selection pane="bottomLeft" activeCell="E101" sqref="E10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9" t="s">
        <v>257</v>
      </c>
      <c r="B1" s="569"/>
      <c r="C1" s="569"/>
      <c r="D1" s="569"/>
      <c r="E1" s="569"/>
      <c r="F1" s="569"/>
    </row>
    <row r="2" spans="1:6" ht="15" customHeight="1" thickBot="1">
      <c r="A2" s="8"/>
      <c r="B2" s="7" t="s">
        <v>243</v>
      </c>
      <c r="C2" s="87"/>
      <c r="E2" s="72" t="s">
        <v>185</v>
      </c>
      <c r="F2" s="465">
        <f>SUM(E4:E118)</f>
        <v>49430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299</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237</v>
      </c>
      <c r="E23" s="188"/>
      <c r="F23" s="107"/>
    </row>
    <row r="24" spans="1:6" ht="15" customHeight="1">
      <c r="A24" s="104">
        <v>21</v>
      </c>
      <c r="B24" s="161" t="s">
        <v>206</v>
      </c>
      <c r="C24" s="165" t="s">
        <v>208</v>
      </c>
      <c r="D24" s="166" t="s">
        <v>137</v>
      </c>
      <c r="E24" s="189">
        <v>4000</v>
      </c>
      <c r="F24" s="77"/>
    </row>
    <row r="25" spans="1:6" ht="15" customHeight="1">
      <c r="A25" s="104">
        <v>22</v>
      </c>
      <c r="B25" s="161" t="s">
        <v>206</v>
      </c>
      <c r="C25" s="161" t="s">
        <v>208</v>
      </c>
      <c r="D25" s="162" t="s">
        <v>227</v>
      </c>
      <c r="E25" s="187"/>
      <c r="F25" s="78"/>
    </row>
    <row r="26" spans="1:6" ht="15" customHeight="1">
      <c r="A26" s="104">
        <v>23</v>
      </c>
      <c r="B26" s="161" t="s">
        <v>206</v>
      </c>
      <c r="C26" s="161" t="s">
        <v>208</v>
      </c>
      <c r="D26" s="162" t="s">
        <v>228</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229</v>
      </c>
      <c r="E30" s="188"/>
      <c r="F30" s="107"/>
    </row>
    <row r="31" spans="1:6" ht="15" customHeight="1">
      <c r="A31" s="104">
        <v>28</v>
      </c>
      <c r="B31" s="161" t="s">
        <v>206</v>
      </c>
      <c r="C31" s="169" t="s">
        <v>210</v>
      </c>
      <c r="D31" s="170" t="s">
        <v>38</v>
      </c>
      <c r="E31" s="190">
        <v>3000</v>
      </c>
      <c r="F31" s="171" t="s">
        <v>299</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230</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231</v>
      </c>
      <c r="E48" s="191">
        <v>3600</v>
      </c>
      <c r="F48" s="79"/>
    </row>
    <row r="49" spans="1:6" ht="15" customHeight="1">
      <c r="A49" s="102">
        <v>46</v>
      </c>
      <c r="B49" s="159" t="s">
        <v>212</v>
      </c>
      <c r="C49" s="159" t="s">
        <v>207</v>
      </c>
      <c r="D49" s="160" t="s">
        <v>241</v>
      </c>
      <c r="E49" s="186"/>
      <c r="F49" s="103"/>
    </row>
    <row r="50" spans="1:6" ht="15" customHeight="1">
      <c r="A50" s="104">
        <v>47</v>
      </c>
      <c r="B50" s="161" t="s">
        <v>212</v>
      </c>
      <c r="C50" s="161" t="s">
        <v>207</v>
      </c>
      <c r="D50" s="162" t="s">
        <v>242</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232</v>
      </c>
      <c r="E52" s="187"/>
      <c r="F52" s="78"/>
    </row>
    <row r="53" spans="1:6" ht="15" customHeight="1">
      <c r="A53" s="104">
        <v>50</v>
      </c>
      <c r="B53" s="161" t="s">
        <v>212</v>
      </c>
      <c r="C53" s="161" t="s">
        <v>207</v>
      </c>
      <c r="D53" s="162" t="s">
        <v>238</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233</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234</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239</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236</v>
      </c>
      <c r="E98" s="187"/>
      <c r="F98" s="78"/>
    </row>
    <row r="99" spans="1:6" ht="15" customHeight="1">
      <c r="A99" s="104">
        <v>96</v>
      </c>
      <c r="B99" s="161" t="s">
        <v>216</v>
      </c>
      <c r="C99" s="161"/>
      <c r="D99" s="162" t="s">
        <v>68</v>
      </c>
      <c r="E99" s="187">
        <v>3000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49430</v>
      </c>
    </row>
    <row r="121" spans="4:6" ht="15" customHeight="1">
      <c r="D121" s="80"/>
      <c r="E121" s="39" t="s">
        <v>176</v>
      </c>
      <c r="F121" s="183">
        <f>SUMIF(F4:F118,"◎",E4:E118)</f>
        <v>11000</v>
      </c>
    </row>
    <row r="122" spans="4:6" ht="15" customHeight="1" thickBot="1">
      <c r="D122" s="80"/>
      <c r="E122" s="82" t="s">
        <v>13</v>
      </c>
      <c r="F122" s="184">
        <f>F120-F121</f>
        <v>38430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N26" sqref="N26"/>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9" t="s">
        <v>304</v>
      </c>
      <c r="I1" s="509"/>
      <c r="J1" s="509"/>
      <c r="K1" s="509"/>
    </row>
    <row r="2" spans="8:11" s="1" customFormat="1" ht="18" customHeight="1">
      <c r="H2" s="509" t="s">
        <v>302</v>
      </c>
      <c r="I2" s="509"/>
      <c r="J2" s="509"/>
      <c r="K2" s="509"/>
    </row>
    <row r="3" s="1" customFormat="1" ht="18" customHeight="1">
      <c r="K3" s="2"/>
    </row>
    <row r="4" spans="8:11" s="1" customFormat="1" ht="18" customHeight="1">
      <c r="H4" s="510" t="s">
        <v>327</v>
      </c>
      <c r="I4" s="510"/>
      <c r="J4" s="510"/>
      <c r="K4" s="510"/>
    </row>
    <row r="5" spans="8:11" s="1" customFormat="1" ht="18" customHeight="1">
      <c r="H5" s="511">
        <v>42971</v>
      </c>
      <c r="I5" s="510"/>
      <c r="J5" s="510"/>
      <c r="K5" s="510"/>
    </row>
    <row r="6" spans="1:11" s="1" customFormat="1" ht="18" customHeight="1">
      <c r="A6" s="3" t="s">
        <v>2</v>
      </c>
      <c r="H6" s="4"/>
      <c r="K6" s="11"/>
    </row>
    <row r="7" spans="1:11" s="1" customFormat="1" ht="18" customHeight="1">
      <c r="A7" s="4"/>
      <c r="H7" s="595" t="s">
        <v>324</v>
      </c>
      <c r="I7" s="595"/>
      <c r="J7" s="595"/>
      <c r="K7" s="595"/>
    </row>
    <row r="8" spans="1:11" s="1" customFormat="1" ht="18" customHeight="1">
      <c r="A8" s="4"/>
      <c r="H8" s="510" t="s">
        <v>300</v>
      </c>
      <c r="I8" s="510"/>
      <c r="J8" s="510"/>
      <c r="K8" s="510"/>
    </row>
    <row r="9" spans="1:11" s="1" customFormat="1" ht="42" customHeight="1">
      <c r="A9" s="4"/>
      <c r="H9" s="2"/>
      <c r="K9" s="46"/>
    </row>
    <row r="10" spans="1:11" ht="24" customHeight="1">
      <c r="A10" s="499" t="s">
        <v>258</v>
      </c>
      <c r="B10" s="499"/>
      <c r="C10" s="499"/>
      <c r="D10" s="499"/>
      <c r="E10" s="499"/>
      <c r="F10" s="499"/>
      <c r="G10" s="499"/>
      <c r="H10" s="499"/>
      <c r="I10" s="499"/>
      <c r="J10" s="499"/>
      <c r="K10" s="499"/>
    </row>
    <row r="11" spans="1:11" ht="24" customHeight="1">
      <c r="A11" s="500"/>
      <c r="B11" s="500"/>
      <c r="C11" s="500"/>
      <c r="D11" s="500"/>
      <c r="E11" s="500"/>
      <c r="F11" s="500"/>
      <c r="G11" s="500"/>
      <c r="H11" s="500"/>
      <c r="I11" s="500"/>
      <c r="J11" s="500"/>
      <c r="K11" s="50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2" t="s">
        <v>84</v>
      </c>
      <c r="B14" s="573"/>
      <c r="C14" s="574"/>
      <c r="D14" s="590">
        <f>'1-1'!D14:F14</f>
        <v>1190000</v>
      </c>
      <c r="E14" s="591"/>
      <c r="F14" s="592"/>
      <c r="G14" s="593"/>
      <c r="H14" s="594"/>
      <c r="I14" s="594"/>
      <c r="J14" s="594"/>
      <c r="K14" s="97">
        <f>'1-1'!K14</f>
        <v>0</v>
      </c>
    </row>
    <row r="15" spans="1:11" ht="39" customHeight="1" thickBot="1">
      <c r="A15" s="19"/>
      <c r="B15" s="18" t="s">
        <v>8</v>
      </c>
      <c r="C15" s="17" t="s">
        <v>9</v>
      </c>
      <c r="D15" s="16" t="s">
        <v>124</v>
      </c>
      <c r="E15" s="16" t="s">
        <v>123</v>
      </c>
      <c r="F15" s="17" t="s">
        <v>10</v>
      </c>
      <c r="G15" s="17" t="s">
        <v>11</v>
      </c>
      <c r="H15" s="449" t="s">
        <v>248</v>
      </c>
      <c r="I15" s="16" t="s">
        <v>12</v>
      </c>
      <c r="J15" s="448" t="s">
        <v>252</v>
      </c>
      <c r="K15" s="23" t="s">
        <v>15</v>
      </c>
    </row>
    <row r="16" spans="1:11" ht="39" customHeight="1" thickTop="1">
      <c r="A16" s="30" t="s">
        <v>105</v>
      </c>
      <c r="B16" s="224">
        <f>'随時②-1'!B20</f>
        <v>440000</v>
      </c>
      <c r="C16" s="225">
        <f>'随時②-1'!C20</f>
        <v>132000</v>
      </c>
      <c r="D16" s="225">
        <f>'随時②-1'!D20</f>
        <v>150210</v>
      </c>
      <c r="E16" s="225">
        <f>'随時②-1'!E20</f>
        <v>0</v>
      </c>
      <c r="F16" s="225">
        <f>'随時②-1'!F20</f>
        <v>17000</v>
      </c>
      <c r="G16" s="225">
        <f>'随時②-1'!G20</f>
        <v>49360</v>
      </c>
      <c r="H16" s="225">
        <f>'随時②-1'!H20</f>
        <v>0</v>
      </c>
      <c r="I16" s="225">
        <f>'随時②-1'!I20</f>
        <v>0</v>
      </c>
      <c r="J16" s="226">
        <f>'随時②-1'!J20</f>
        <v>51430</v>
      </c>
      <c r="K16" s="434">
        <f aca="true" t="shared" si="0" ref="K16:K26">SUM(B16:J16)</f>
        <v>840000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440000</v>
      </c>
      <c r="C18" s="225">
        <f>C16-C17</f>
        <v>132000</v>
      </c>
      <c r="D18" s="225">
        <f aca="true" t="shared" si="1" ref="D18:J18">D16-D17</f>
        <v>150210</v>
      </c>
      <c r="E18" s="225">
        <f t="shared" si="1"/>
        <v>0</v>
      </c>
      <c r="F18" s="225">
        <f t="shared" si="1"/>
        <v>17000</v>
      </c>
      <c r="G18" s="225">
        <f t="shared" si="1"/>
        <v>49360</v>
      </c>
      <c r="H18" s="225">
        <f t="shared" si="1"/>
        <v>0</v>
      </c>
      <c r="I18" s="225">
        <f t="shared" si="1"/>
        <v>0</v>
      </c>
      <c r="J18" s="225">
        <f t="shared" si="1"/>
        <v>40430</v>
      </c>
      <c r="K18" s="434">
        <f t="shared" si="0"/>
        <v>829000</v>
      </c>
    </row>
    <row r="19" spans="1:11" ht="39" customHeight="1" thickBot="1">
      <c r="A19" s="32" t="s">
        <v>174</v>
      </c>
      <c r="B19" s="442">
        <v>188000</v>
      </c>
      <c r="C19" s="443">
        <v>69660</v>
      </c>
      <c r="D19" s="443">
        <v>3000</v>
      </c>
      <c r="E19" s="443">
        <f>'2-2'!K145</f>
        <v>0</v>
      </c>
      <c r="F19" s="443"/>
      <c r="G19" s="443"/>
      <c r="H19" s="443">
        <f>'2-2'!K148</f>
        <v>0</v>
      </c>
      <c r="I19" s="443">
        <f>'2-2'!K149</f>
        <v>0</v>
      </c>
      <c r="J19" s="447">
        <v>39830</v>
      </c>
      <c r="K19" s="444">
        <f t="shared" si="0"/>
        <v>300490</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188000</v>
      </c>
      <c r="C21" s="322">
        <f>C19-C20</f>
        <v>69660</v>
      </c>
      <c r="D21" s="322">
        <f aca="true" t="shared" si="2" ref="D21:J21">D19-D20</f>
        <v>3000</v>
      </c>
      <c r="E21" s="322">
        <f t="shared" si="2"/>
        <v>0</v>
      </c>
      <c r="F21" s="322">
        <f t="shared" si="2"/>
        <v>0</v>
      </c>
      <c r="G21" s="322">
        <f t="shared" si="2"/>
        <v>0</v>
      </c>
      <c r="H21" s="322">
        <f t="shared" si="2"/>
        <v>0</v>
      </c>
      <c r="I21" s="322">
        <f t="shared" si="2"/>
        <v>0</v>
      </c>
      <c r="J21" s="322">
        <f t="shared" si="2"/>
        <v>28830</v>
      </c>
      <c r="K21" s="437">
        <f t="shared" si="0"/>
        <v>289490</v>
      </c>
    </row>
    <row r="22" spans="1:11" ht="39" customHeight="1" thickBot="1">
      <c r="A22" s="32" t="s">
        <v>117</v>
      </c>
      <c r="B22" s="442">
        <f>B18-B21</f>
        <v>252000</v>
      </c>
      <c r="C22" s="442">
        <f aca="true" t="shared" si="3" ref="C22:J22">C18-C21</f>
        <v>62340</v>
      </c>
      <c r="D22" s="442">
        <f t="shared" si="3"/>
        <v>147210</v>
      </c>
      <c r="E22" s="442">
        <f t="shared" si="3"/>
        <v>0</v>
      </c>
      <c r="F22" s="442">
        <f t="shared" si="3"/>
        <v>17000</v>
      </c>
      <c r="G22" s="442">
        <f t="shared" si="3"/>
        <v>49360</v>
      </c>
      <c r="H22" s="442">
        <f t="shared" si="3"/>
        <v>0</v>
      </c>
      <c r="I22" s="442">
        <f t="shared" si="3"/>
        <v>0</v>
      </c>
      <c r="J22" s="442">
        <f t="shared" si="3"/>
        <v>11600</v>
      </c>
      <c r="K22" s="444">
        <f t="shared" si="0"/>
        <v>539510</v>
      </c>
    </row>
    <row r="23" spans="1:11" ht="39" customHeight="1">
      <c r="A23" s="30" t="s">
        <v>167</v>
      </c>
      <c r="B23" s="225">
        <v>372000</v>
      </c>
      <c r="C23" s="225">
        <v>372340</v>
      </c>
      <c r="D23" s="225">
        <v>67210</v>
      </c>
      <c r="E23" s="225">
        <f>'2-4'!G110</f>
        <v>0</v>
      </c>
      <c r="F23" s="225">
        <v>17000</v>
      </c>
      <c r="G23" s="225">
        <v>48860</v>
      </c>
      <c r="H23" s="225">
        <f>'2-4'!G113</f>
        <v>0</v>
      </c>
      <c r="I23" s="225">
        <f>'2-4'!G114</f>
        <v>0</v>
      </c>
      <c r="J23" s="225">
        <v>12100</v>
      </c>
      <c r="K23" s="434">
        <f t="shared" si="0"/>
        <v>889510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 aca="true" t="shared" si="4" ref="B25:J25">B23-B24-B22</f>
        <v>120000</v>
      </c>
      <c r="C25" s="435">
        <f t="shared" si="4"/>
        <v>310000</v>
      </c>
      <c r="D25" s="435">
        <f t="shared" si="4"/>
        <v>-80000</v>
      </c>
      <c r="E25" s="435">
        <f t="shared" si="4"/>
        <v>0</v>
      </c>
      <c r="F25" s="435">
        <f t="shared" si="4"/>
        <v>0</v>
      </c>
      <c r="G25" s="435">
        <f t="shared" si="4"/>
        <v>-500</v>
      </c>
      <c r="H25" s="435">
        <f t="shared" si="4"/>
        <v>0</v>
      </c>
      <c r="I25" s="435">
        <f t="shared" si="4"/>
        <v>0</v>
      </c>
      <c r="J25" s="435">
        <f t="shared" si="4"/>
        <v>500</v>
      </c>
      <c r="K25" s="437">
        <f t="shared" si="0"/>
        <v>350000</v>
      </c>
    </row>
    <row r="26" spans="1:11" ht="39" customHeight="1" thickBot="1">
      <c r="A26" s="22" t="s">
        <v>118</v>
      </c>
      <c r="B26" s="220">
        <f>B19+B23</f>
        <v>560000</v>
      </c>
      <c r="C26" s="220">
        <f aca="true" t="shared" si="5" ref="C26:J26">C19+C23</f>
        <v>442000</v>
      </c>
      <c r="D26" s="220">
        <f t="shared" si="5"/>
        <v>70210</v>
      </c>
      <c r="E26" s="220">
        <f t="shared" si="5"/>
        <v>0</v>
      </c>
      <c r="F26" s="220">
        <f t="shared" si="5"/>
        <v>17000</v>
      </c>
      <c r="G26" s="220">
        <v>48860</v>
      </c>
      <c r="H26" s="220">
        <f t="shared" si="5"/>
        <v>0</v>
      </c>
      <c r="I26" s="220">
        <f t="shared" si="5"/>
        <v>0</v>
      </c>
      <c r="J26" s="220">
        <f t="shared" si="5"/>
        <v>51930</v>
      </c>
      <c r="K26" s="223">
        <f t="shared" si="0"/>
        <v>1190000</v>
      </c>
    </row>
    <row r="27" spans="1:11" ht="39" customHeight="1" thickBot="1">
      <c r="A27" s="32" t="s">
        <v>104</v>
      </c>
      <c r="B27" s="570" t="s">
        <v>305</v>
      </c>
      <c r="C27" s="570"/>
      <c r="D27" s="570"/>
      <c r="E27" s="570"/>
      <c r="F27" s="570"/>
      <c r="G27" s="570"/>
      <c r="H27" s="570"/>
      <c r="I27" s="570"/>
      <c r="J27" s="570"/>
      <c r="K27" s="571"/>
    </row>
  </sheetData>
  <sheetProtection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K23:K24 B16:K22 B25:K26">
    <cfRule type="cellIs" priority="2" dxfId="29" operator="equal" stopIfTrue="1">
      <formula>0</formula>
    </cfRule>
  </conditionalFormatting>
  <conditionalFormatting sqref="B23:J24">
    <cfRule type="cellIs" priority="1" dxfId="29"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13" activePane="bottomRight" state="frozen"/>
      <selection pane="topLeft" activeCell="E23" sqref="E23"/>
      <selection pane="topRight" activeCell="E23" sqref="E23"/>
      <selection pane="bottomLeft" activeCell="E23" sqref="E23"/>
      <selection pane="bottomRight" activeCell="K14" sqref="K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08" t="s">
        <v>143</v>
      </c>
      <c r="G2" s="609"/>
      <c r="H2" s="609"/>
      <c r="I2" s="609"/>
      <c r="J2" s="609"/>
      <c r="K2" s="559" t="s">
        <v>115</v>
      </c>
      <c r="L2" s="557"/>
      <c r="M2" s="557"/>
      <c r="N2" s="557"/>
      <c r="O2" s="558"/>
      <c r="P2" s="13"/>
    </row>
    <row r="3" spans="1:21" ht="24" customHeight="1">
      <c r="A3" s="423" t="s">
        <v>141</v>
      </c>
      <c r="B3" s="300" t="s">
        <v>142</v>
      </c>
      <c r="C3" s="59" t="s">
        <v>144</v>
      </c>
      <c r="D3" s="96" t="s">
        <v>146</v>
      </c>
      <c r="E3" s="96" t="s">
        <v>0</v>
      </c>
      <c r="F3" s="96" t="s">
        <v>197</v>
      </c>
      <c r="G3" s="96" t="s">
        <v>91</v>
      </c>
      <c r="H3" s="475" t="s">
        <v>245</v>
      </c>
      <c r="I3" s="96" t="s">
        <v>92</v>
      </c>
      <c r="J3" s="96" t="s">
        <v>93</v>
      </c>
      <c r="K3" s="384" t="s">
        <v>199</v>
      </c>
      <c r="L3" s="385" t="s">
        <v>91</v>
      </c>
      <c r="M3" s="476" t="s">
        <v>245</v>
      </c>
      <c r="N3" s="385" t="s">
        <v>92</v>
      </c>
      <c r="O3" s="386" t="s">
        <v>93</v>
      </c>
      <c r="P3" s="228" t="s">
        <v>111</v>
      </c>
      <c r="Q3" s="296" t="s">
        <v>107</v>
      </c>
      <c r="R3" s="62" t="s">
        <v>148</v>
      </c>
      <c r="S3" s="61" t="s">
        <v>149</v>
      </c>
      <c r="T3" s="61" t="s">
        <v>150</v>
      </c>
      <c r="U3" s="61" t="s">
        <v>151</v>
      </c>
    </row>
    <row r="4" spans="1:21" ht="13.5" customHeight="1">
      <c r="A4" s="301">
        <f>'1-2'!A4</f>
        <v>1</v>
      </c>
      <c r="B4" s="302" t="str">
        <f>'1-2'!B4</f>
        <v>1-(2)</v>
      </c>
      <c r="C4" s="479" t="str">
        <f>'1-2'!C4</f>
        <v>学習意欲の向上、学習内容の深化</v>
      </c>
      <c r="D4" s="244">
        <v>1</v>
      </c>
      <c r="E4" s="303" t="str">
        <f>IF($R4=1,"",VLOOKUP($D4,'1-2'!$D$4:$L$103,2))</f>
        <v>委託料</v>
      </c>
      <c r="F4" s="303" t="str">
        <f>IF($R4=1,"取消し",VLOOKUP($D4,'1-2'!$D$4:$L$103,3))</f>
        <v>授業アンケート集計発送費</v>
      </c>
      <c r="G4" s="304">
        <f>IF($R4=1,,VLOOKUP($D4,'1-2'!$D$4:$L$103,4))</f>
        <v>49360</v>
      </c>
      <c r="H4" s="305">
        <f>IF($R4=1,,VLOOKUP($D4,'1-2'!$D$4:$L$103,5))</f>
        <v>1</v>
      </c>
      <c r="I4" s="305">
        <f>IF($R4=1,,VLOOKUP($D4,'1-2'!$D$4:$L$103,6))</f>
        <v>1</v>
      </c>
      <c r="J4" s="306">
        <f>IF($R4=1,,VLOOKUP($D4,'1-2'!$D$4:$L$103,7))</f>
        <v>49360</v>
      </c>
      <c r="K4" s="307" t="str">
        <f aca="true" t="shared" si="0" ref="K4:N5">F4</f>
        <v>授業アンケート集計発送費</v>
      </c>
      <c r="L4" s="308">
        <v>48860</v>
      </c>
      <c r="M4" s="309">
        <f t="shared" si="0"/>
        <v>1</v>
      </c>
      <c r="N4" s="309">
        <v>0</v>
      </c>
      <c r="O4" s="310">
        <f>L4*M4*N4</f>
        <v>0</v>
      </c>
      <c r="P4" s="311">
        <f>IF($R4=1,"",VLOOKUP($D4,'1-2'!$D$4:$L$103,8))</f>
        <v>0</v>
      </c>
      <c r="Q4" s="312" t="s">
        <v>226</v>
      </c>
      <c r="R4" s="25">
        <f>IF(ISNA(MATCH($D4,'随時②-2'!$D$4:$D$18,0)),0,1)</f>
        <v>0</v>
      </c>
      <c r="S4" s="63">
        <f aca="true" t="shared" si="1" ref="S4:S67">IF(P4="◎",J4,"")</f>
      </c>
      <c r="T4" s="63">
        <f>IF(P4="◎",O4,"")</f>
      </c>
      <c r="U4" s="5">
        <f>IF($E4=0,"",VLOOKUP($E4,$V$5:$X$13,2))</f>
        <v>6</v>
      </c>
    </row>
    <row r="5" spans="1:23" ht="13.5" customHeight="1">
      <c r="A5" s="313">
        <f>'1-2'!A5</f>
        <v>0</v>
      </c>
      <c r="B5" s="314">
        <f>'1-2'!B5</f>
        <v>0</v>
      </c>
      <c r="C5" s="480">
        <f>'1-2'!C5</f>
        <v>0</v>
      </c>
      <c r="D5" s="255">
        <v>2</v>
      </c>
      <c r="E5" s="315" t="str">
        <f>IF($R5=1,"",VLOOKUP($D5,'1-2'!$D$4:$L$103,2))</f>
        <v>旅費</v>
      </c>
      <c r="F5" s="316" t="str">
        <f>IF($R5=1,"取消し",VLOOKUP($D5,'1-2'!$D$4:$L$103,3))</f>
        <v>アクティブラーニング研修旅費</v>
      </c>
      <c r="G5" s="225">
        <f>IF($R5=1,,VLOOKUP($D5,'1-2'!$D$4:$L$103,4))</f>
        <v>30000</v>
      </c>
      <c r="H5" s="317">
        <f>IF($R5=1,,VLOOKUP($D5,'1-2'!$D$4:$L$103,5))</f>
        <v>1</v>
      </c>
      <c r="I5" s="317">
        <f>IF($R5=1,,VLOOKUP($D5,'1-2'!$D$4:$L$103,6))</f>
        <v>1</v>
      </c>
      <c r="J5" s="318">
        <f>IF($R5=1,,VLOOKUP($D5,'1-2'!$D$4:$L$103,7))</f>
        <v>30000</v>
      </c>
      <c r="K5" s="319" t="str">
        <f t="shared" si="0"/>
        <v>アクティブラーニング研修旅費</v>
      </c>
      <c r="L5" s="320">
        <v>15020</v>
      </c>
      <c r="M5" s="321">
        <f t="shared" si="0"/>
        <v>1</v>
      </c>
      <c r="N5" s="321">
        <f t="shared" si="0"/>
        <v>1</v>
      </c>
      <c r="O5" s="310">
        <f aca="true" t="shared" si="2" ref="O5:O68">L5*M5*N5</f>
        <v>15020</v>
      </c>
      <c r="P5" s="311">
        <f>IF($R5=1,"",VLOOKUP($D5,'1-2'!$D$4:$L$103,8))</f>
        <v>0</v>
      </c>
      <c r="Q5" s="312">
        <f>IF($R5=1,"",VLOOKUP($D5,'1-2'!$D$4:$L$103,9))</f>
        <v>0</v>
      </c>
      <c r="R5" s="25">
        <f>IF(ISNA(MATCH($D5,'随時②-2'!$D$4:$D$18,0)),0,1)</f>
        <v>0</v>
      </c>
      <c r="S5" s="63">
        <f t="shared" si="1"/>
      </c>
      <c r="T5" s="63">
        <f aca="true" t="shared" si="3" ref="T5:T68">IF(P5="◎",O5,"")</f>
      </c>
      <c r="U5" s="5">
        <f aca="true" t="shared" si="4" ref="U5:U68">IF($E5=0,"",VLOOKUP($E5,$V$5:$X$13,2))</f>
        <v>2</v>
      </c>
      <c r="V5" s="5" t="s">
        <v>152</v>
      </c>
      <c r="W5" s="5">
        <v>6</v>
      </c>
    </row>
    <row r="6" spans="1:23" ht="13.5" customHeight="1">
      <c r="A6" s="313">
        <f>'1-2'!A6</f>
        <v>0</v>
      </c>
      <c r="B6" s="314">
        <f>'1-2'!B6</f>
        <v>0</v>
      </c>
      <c r="C6" s="480">
        <f>'1-2'!C6</f>
        <v>0</v>
      </c>
      <c r="D6" s="255">
        <v>3</v>
      </c>
      <c r="E6" s="315">
        <f>IF($R6=1,"",VLOOKUP($D6,'1-2'!$D$4:$L$103,2))</f>
        <v>0</v>
      </c>
      <c r="F6" s="316">
        <f>IF($R6=1,"取消し",VLOOKUP($D6,'1-2'!$D$4:$L$103,3))</f>
        <v>0</v>
      </c>
      <c r="G6" s="225">
        <f>IF($R6=1,,VLOOKUP($D6,'1-2'!$D$4:$L$103,4))</f>
        <v>0</v>
      </c>
      <c r="H6" s="317">
        <f>IF($R6=1,,VLOOKUP($D6,'1-2'!$D$4:$L$103,5))</f>
        <v>0</v>
      </c>
      <c r="I6" s="317">
        <f>IF($R6=1,,VLOOKUP($D6,'1-2'!$D$4:$L$103,6))</f>
        <v>0</v>
      </c>
      <c r="J6" s="318">
        <f>IF($R6=1,,VLOOKUP($D6,'1-2'!$D$4:$L$103,7))</f>
        <v>0</v>
      </c>
      <c r="K6" s="319">
        <f aca="true" t="shared" si="5" ref="K6:K69">F6</f>
        <v>0</v>
      </c>
      <c r="L6" s="320">
        <f aca="true" t="shared" si="6" ref="L6:N10">G6</f>
        <v>0</v>
      </c>
      <c r="M6" s="321">
        <f t="shared" si="6"/>
        <v>0</v>
      </c>
      <c r="N6" s="321">
        <f t="shared" si="6"/>
        <v>0</v>
      </c>
      <c r="O6" s="310">
        <f t="shared" si="2"/>
        <v>0</v>
      </c>
      <c r="P6" s="311">
        <f>IF($R6=1,"",VLOOKUP($D6,'1-2'!$D$4:$L$103,8))</f>
        <v>0</v>
      </c>
      <c r="Q6" s="312">
        <f>IF($R6=1,"",VLOOKUP($D6,'1-2'!$D$4:$L$103,9))</f>
        <v>0</v>
      </c>
      <c r="R6" s="25">
        <f>IF(ISNA(MATCH($D6,'随時②-2'!$D$4:$D$18,0)),0,1)</f>
        <v>0</v>
      </c>
      <c r="S6" s="63">
        <f t="shared" si="1"/>
      </c>
      <c r="T6" s="63">
        <f t="shared" si="3"/>
      </c>
      <c r="U6" s="5">
        <f t="shared" si="4"/>
      </c>
      <c r="V6" s="5" t="s">
        <v>153</v>
      </c>
      <c r="W6" s="5">
        <v>4</v>
      </c>
    </row>
    <row r="7" spans="1:23" ht="13.5" customHeight="1">
      <c r="A7" s="313">
        <f>'1-2'!A7</f>
        <v>0</v>
      </c>
      <c r="B7" s="314" t="str">
        <f>'1-2'!B7</f>
        <v>2-(1)</v>
      </c>
      <c r="C7" s="480" t="str">
        <f>'1-2'!C7</f>
        <v>キャリア教育の更なる充実</v>
      </c>
      <c r="D7" s="255">
        <v>4</v>
      </c>
      <c r="E7" s="315" t="str">
        <f>IF($R7=1,"",VLOOKUP($D7,'1-2'!$D$4:$L$103,2))</f>
        <v>旅費</v>
      </c>
      <c r="F7" s="316" t="str">
        <f>IF($R7=1,"取消し",VLOOKUP($D7,'1-2'!$D$4:$L$103,3))</f>
        <v>企業訪問旅費</v>
      </c>
      <c r="G7" s="225">
        <f>IF($R7=1,,VLOOKUP($D7,'1-2'!$D$4:$L$103,4))</f>
        <v>400</v>
      </c>
      <c r="H7" s="317">
        <f>IF($R7=1,,VLOOKUP($D7,'1-2'!$D$4:$L$103,5))</f>
        <v>50</v>
      </c>
      <c r="I7" s="317">
        <f>IF($R7=1,,VLOOKUP($D7,'1-2'!$D$4:$L$103,6))</f>
        <v>1</v>
      </c>
      <c r="J7" s="318">
        <f>IF($R7=1,,VLOOKUP($D7,'1-2'!$D$4:$L$103,7))</f>
        <v>20000</v>
      </c>
      <c r="K7" s="319" t="str">
        <f t="shared" si="5"/>
        <v>企業訪問旅費</v>
      </c>
      <c r="L7" s="320">
        <f t="shared" si="6"/>
        <v>400</v>
      </c>
      <c r="M7" s="321">
        <f t="shared" si="6"/>
        <v>50</v>
      </c>
      <c r="N7" s="321">
        <v>0</v>
      </c>
      <c r="O7" s="310">
        <f t="shared" si="2"/>
        <v>0</v>
      </c>
      <c r="P7" s="311">
        <f>IF($R7=1,"",VLOOKUP($D7,'1-2'!$D$4:$L$103,8))</f>
        <v>0</v>
      </c>
      <c r="Q7" s="312">
        <f>IF($R7=1,"",VLOOKUP($D7,'1-2'!$D$4:$L$103,9))</f>
        <v>0</v>
      </c>
      <c r="R7" s="25">
        <f>IF(ISNA(MATCH($D7,'随時②-2'!$D$4:$D$18,0)),0,1)</f>
        <v>0</v>
      </c>
      <c r="S7" s="63">
        <f t="shared" si="1"/>
      </c>
      <c r="T7" s="63">
        <f t="shared" si="3"/>
      </c>
      <c r="U7" s="5">
        <f t="shared" si="4"/>
        <v>2</v>
      </c>
      <c r="V7" s="5" t="s">
        <v>154</v>
      </c>
      <c r="W7" s="5">
        <v>7</v>
      </c>
    </row>
    <row r="8" spans="1:23" ht="13.5" customHeight="1">
      <c r="A8" s="313">
        <f>'1-2'!A8</f>
        <v>0</v>
      </c>
      <c r="B8" s="314">
        <f>'1-2'!B8</f>
        <v>0</v>
      </c>
      <c r="C8" s="480">
        <f>'1-2'!C8</f>
        <v>0</v>
      </c>
      <c r="D8" s="264">
        <v>5</v>
      </c>
      <c r="E8" s="315" t="str">
        <f>IF($R8=1,"",VLOOKUP($D8,'1-2'!$D$4:$L$103,2))</f>
        <v>役務費</v>
      </c>
      <c r="F8" s="316" t="str">
        <f>IF($R8=1,"取消し",VLOOKUP($D8,'1-2'!$D$4:$L$103,3))</f>
        <v>企業向け学校案内等発送</v>
      </c>
      <c r="G8" s="225">
        <f>IF($R8=1,,VLOOKUP($D8,'1-2'!$D$4:$L$103,4))</f>
        <v>3880</v>
      </c>
      <c r="H8" s="317">
        <f>IF($R8=1,,VLOOKUP($D8,'1-2'!$D$4:$L$103,5))</f>
        <v>1</v>
      </c>
      <c r="I8" s="317">
        <f>IF($R8=1,,VLOOKUP($D8,'1-2'!$D$4:$L$103,6))</f>
        <v>1</v>
      </c>
      <c r="J8" s="318">
        <f>IF($R8=1,,VLOOKUP($D8,'1-2'!$D$4:$L$103,7))</f>
        <v>3880</v>
      </c>
      <c r="K8" s="319" t="str">
        <f t="shared" si="5"/>
        <v>企業向け学校案内等発送</v>
      </c>
      <c r="L8" s="320">
        <f t="shared" si="6"/>
        <v>3880</v>
      </c>
      <c r="M8" s="321">
        <f t="shared" si="6"/>
        <v>1</v>
      </c>
      <c r="N8" s="321">
        <v>0</v>
      </c>
      <c r="O8" s="310">
        <f t="shared" si="2"/>
        <v>0</v>
      </c>
      <c r="P8" s="311">
        <f>IF($R8=1,"",VLOOKUP($D8,'1-2'!$D$4:$L$103,8))</f>
        <v>0</v>
      </c>
      <c r="Q8" s="312">
        <f>IF($R8=1,"",VLOOKUP($D8,'1-2'!$D$4:$L$103,9))</f>
        <v>0</v>
      </c>
      <c r="R8" s="25">
        <f>IF(ISNA(MATCH($D8,'随時②-2'!$D$4:$D$18,0)),0,1)</f>
        <v>0</v>
      </c>
      <c r="S8" s="63">
        <f t="shared" si="1"/>
      </c>
      <c r="T8" s="63">
        <f t="shared" si="3"/>
      </c>
      <c r="U8" s="5">
        <f t="shared" si="4"/>
        <v>5</v>
      </c>
      <c r="V8" s="5" t="s">
        <v>155</v>
      </c>
      <c r="W8" s="5">
        <v>3</v>
      </c>
    </row>
    <row r="9" spans="1:23" ht="13.5" customHeight="1">
      <c r="A9" s="313">
        <f>'1-2'!A9</f>
        <v>0</v>
      </c>
      <c r="B9" s="314">
        <f>'1-2'!B9</f>
        <v>0</v>
      </c>
      <c r="C9" s="480">
        <f>'1-2'!C9</f>
        <v>0</v>
      </c>
      <c r="D9" s="255">
        <v>6</v>
      </c>
      <c r="E9" s="315">
        <f>IF($R9=1,"",VLOOKUP($D9,'1-2'!$D$4:$L$103,2))</f>
        <v>0</v>
      </c>
      <c r="F9" s="316">
        <f>IF($R9=1,"取消し",VLOOKUP($D9,'1-2'!$D$4:$L$103,3))</f>
        <v>0</v>
      </c>
      <c r="G9" s="225">
        <f>IF($R9=1,,VLOOKUP($D9,'1-2'!$D$4:$L$103,4))</f>
        <v>0</v>
      </c>
      <c r="H9" s="317">
        <f>IF($R9=1,,VLOOKUP($D9,'1-2'!$D$4:$L$103,5))</f>
        <v>0</v>
      </c>
      <c r="I9" s="317">
        <f>IF($R9=1,,VLOOKUP($D9,'1-2'!$D$4:$L$103,6))</f>
        <v>0</v>
      </c>
      <c r="J9" s="318">
        <f>IF($R9=1,,VLOOKUP($D9,'1-2'!$D$4:$L$103,7))</f>
        <v>0</v>
      </c>
      <c r="K9" s="319">
        <f t="shared" si="5"/>
        <v>0</v>
      </c>
      <c r="L9" s="320">
        <f t="shared" si="6"/>
        <v>0</v>
      </c>
      <c r="M9" s="321">
        <f t="shared" si="6"/>
        <v>0</v>
      </c>
      <c r="N9" s="321">
        <f t="shared" si="6"/>
        <v>0</v>
      </c>
      <c r="O9" s="310">
        <f t="shared" si="2"/>
        <v>0</v>
      </c>
      <c r="P9" s="311">
        <f>IF($R9=1,"",VLOOKUP($D9,'1-2'!$D$4:$L$103,8))</f>
        <v>0</v>
      </c>
      <c r="Q9" s="312">
        <f>IF($R9=1,"",VLOOKUP($D9,'1-2'!$D$4:$L$103,9))</f>
        <v>0</v>
      </c>
      <c r="R9" s="25">
        <f>IF(ISNA(MATCH($D9,'随時②-2'!$D$4:$D$18,0)),0,1)</f>
        <v>0</v>
      </c>
      <c r="S9" s="63">
        <f t="shared" si="1"/>
      </c>
      <c r="T9" s="63">
        <f t="shared" si="3"/>
      </c>
      <c r="U9" s="5">
        <f t="shared" si="4"/>
      </c>
      <c r="V9" s="5" t="s">
        <v>156</v>
      </c>
      <c r="W9" s="5">
        <v>8</v>
      </c>
    </row>
    <row r="10" spans="1:23" ht="13.5" customHeight="1">
      <c r="A10" s="313">
        <f>'1-2'!A10</f>
        <v>0</v>
      </c>
      <c r="B10" s="314">
        <f>'1-2'!B10</f>
        <v>0</v>
      </c>
      <c r="C10" s="480">
        <f>'1-2'!C10</f>
        <v>0</v>
      </c>
      <c r="D10" s="255">
        <v>7</v>
      </c>
      <c r="E10" s="315">
        <f>IF($R10=1,"",VLOOKUP($D10,'1-2'!$D$4:$L$103,2))</f>
        <v>0</v>
      </c>
      <c r="F10" s="316">
        <f>IF($R10=1,"取消し",VLOOKUP($D10,'1-2'!$D$4:$L$103,3))</f>
        <v>0</v>
      </c>
      <c r="G10" s="225">
        <f>IF($R10=1,,VLOOKUP($D10,'1-2'!$D$4:$L$103,4))</f>
        <v>0</v>
      </c>
      <c r="H10" s="317">
        <f>IF($R10=1,,VLOOKUP($D10,'1-2'!$D$4:$L$103,5))</f>
        <v>0</v>
      </c>
      <c r="I10" s="317">
        <f>IF($R10=1,,VLOOKUP($D10,'1-2'!$D$4:$L$103,6))</f>
        <v>0</v>
      </c>
      <c r="J10" s="318">
        <f>IF($R10=1,,VLOOKUP($D10,'1-2'!$D$4:$L$103,7))</f>
        <v>0</v>
      </c>
      <c r="K10" s="319">
        <f t="shared" si="5"/>
        <v>0</v>
      </c>
      <c r="L10" s="320">
        <f t="shared" si="6"/>
        <v>0</v>
      </c>
      <c r="M10" s="321">
        <f t="shared" si="6"/>
        <v>0</v>
      </c>
      <c r="N10" s="321">
        <f t="shared" si="6"/>
        <v>0</v>
      </c>
      <c r="O10" s="310">
        <f t="shared" si="2"/>
        <v>0</v>
      </c>
      <c r="P10" s="311">
        <f>IF($R10=1,"",VLOOKUP($D10,'1-2'!$D$4:$L$103,8))</f>
        <v>0</v>
      </c>
      <c r="Q10" s="312">
        <f>IF($R10=1,"",VLOOKUP($D10,'1-2'!$D$4:$L$103,9))</f>
        <v>0</v>
      </c>
      <c r="R10" s="25">
        <f>IF(ISNA(MATCH($D10,'随時②-2'!$D$4:$D$18,0)),0,1)</f>
        <v>0</v>
      </c>
      <c r="S10" s="63">
        <f t="shared" si="1"/>
      </c>
      <c r="T10" s="63">
        <f t="shared" si="3"/>
      </c>
      <c r="U10" s="5">
        <f t="shared" si="4"/>
      </c>
      <c r="V10" s="5" t="s">
        <v>160</v>
      </c>
      <c r="W10" s="5">
        <v>9</v>
      </c>
    </row>
    <row r="11" spans="1:23" ht="13.5" customHeight="1">
      <c r="A11" s="313">
        <f>'1-2'!A11</f>
        <v>0</v>
      </c>
      <c r="B11" s="314" t="str">
        <f>'1-2'!B11</f>
        <v>3-(2)</v>
      </c>
      <c r="C11" s="480" t="str">
        <f>'1-2'!C11</f>
        <v>生徒の自己理解を深め、自尊感情、自己</v>
      </c>
      <c r="D11" s="264">
        <v>8</v>
      </c>
      <c r="E11" s="315" t="str">
        <f>IF($R11=1,"",VLOOKUP($D11,'1-2'!$D$4:$L$103,2))</f>
        <v>報償費</v>
      </c>
      <c r="F11" s="316" t="str">
        <f>IF($R11=1,"取消し",VLOOKUP($D11,'1-2'!$D$4:$L$103,3))</f>
        <v>スクールカウンセラー謝金</v>
      </c>
      <c r="G11" s="225">
        <f>IF($R11=1,,VLOOKUP($D11,'1-2'!$D$4:$L$103,4))</f>
        <v>5000</v>
      </c>
      <c r="H11" s="317">
        <f>IF($R11=1,,VLOOKUP($D11,'1-2'!$D$4:$L$103,5))</f>
        <v>1</v>
      </c>
      <c r="I11" s="317">
        <f>IF($R11=1,,VLOOKUP($D11,'1-2'!$D$4:$L$103,6))</f>
        <v>4</v>
      </c>
      <c r="J11" s="318">
        <f>IF($R11=1,,VLOOKUP($D11,'1-2'!$D$4:$L$103,7))</f>
        <v>20000</v>
      </c>
      <c r="K11" s="319" t="str">
        <f t="shared" si="5"/>
        <v>スクールカウンセラー謝金</v>
      </c>
      <c r="L11" s="320">
        <f aca="true" t="shared" si="7" ref="L11:L74">G11</f>
        <v>5000</v>
      </c>
      <c r="M11" s="321">
        <f aca="true" t="shared" si="8" ref="M11:M74">H11</f>
        <v>1</v>
      </c>
      <c r="N11" s="321">
        <v>0</v>
      </c>
      <c r="O11" s="310">
        <f t="shared" si="2"/>
        <v>0</v>
      </c>
      <c r="P11" s="311">
        <f>IF($R11=1,"",VLOOKUP($D11,'1-2'!$D$4:$L$103,8))</f>
        <v>0</v>
      </c>
      <c r="Q11" s="312">
        <f>IF($R11=1,"",VLOOKUP($D11,'1-2'!$D$4:$L$103,9))</f>
        <v>0</v>
      </c>
      <c r="R11" s="25">
        <f>IF(ISNA(MATCH($D11,'随時②-2'!$D$4:$D$18,0)),0,1)</f>
        <v>0</v>
      </c>
      <c r="S11" s="63">
        <f t="shared" si="1"/>
      </c>
      <c r="T11" s="63">
        <f t="shared" si="3"/>
      </c>
      <c r="U11" s="5">
        <f t="shared" si="4"/>
        <v>1</v>
      </c>
      <c r="V11" s="5" t="s">
        <v>157</v>
      </c>
      <c r="W11" s="5">
        <v>1</v>
      </c>
    </row>
    <row r="12" spans="1:23" ht="13.5" customHeight="1">
      <c r="A12" s="313">
        <f>'1-2'!A12</f>
        <v>0</v>
      </c>
      <c r="B12" s="314">
        <f>'1-2'!B12</f>
        <v>0</v>
      </c>
      <c r="C12" s="480">
        <f>'1-2'!C12</f>
        <v>0</v>
      </c>
      <c r="D12" s="264">
        <v>9</v>
      </c>
      <c r="E12" s="315" t="str">
        <f>IF($R12=1,"",VLOOKUP($D12,'1-2'!$D$4:$L$103,2))</f>
        <v>報償費</v>
      </c>
      <c r="F12" s="316" t="str">
        <f>IF($R12=1,"取消し",VLOOKUP($D12,'1-2'!$D$4:$L$103,3))</f>
        <v>スクールソーシャルカウンセラー謝金</v>
      </c>
      <c r="G12" s="225">
        <f>IF($R12=1,,VLOOKUP($D12,'1-2'!$D$4:$L$103,4))</f>
        <v>5000</v>
      </c>
      <c r="H12" s="317">
        <f>IF($R12=1,,VLOOKUP($D12,'1-2'!$D$4:$L$103,5))</f>
        <v>1</v>
      </c>
      <c r="I12" s="317">
        <v>40</v>
      </c>
      <c r="J12" s="318">
        <v>200000</v>
      </c>
      <c r="K12" s="319" t="str">
        <f t="shared" si="5"/>
        <v>スクールソーシャルカウンセラー謝金</v>
      </c>
      <c r="L12" s="320">
        <f t="shared" si="7"/>
        <v>5000</v>
      </c>
      <c r="M12" s="321">
        <f t="shared" si="8"/>
        <v>1</v>
      </c>
      <c r="N12" s="321">
        <v>4</v>
      </c>
      <c r="O12" s="310">
        <f t="shared" si="2"/>
        <v>20000</v>
      </c>
      <c r="P12" s="311">
        <f>IF($R12=1,"",VLOOKUP($D12,'1-2'!$D$4:$L$103,8))</f>
        <v>0</v>
      </c>
      <c r="Q12" s="312">
        <f>IF($R12=1,"",VLOOKUP($D12,'1-2'!$D$4:$L$103,9))</f>
        <v>0</v>
      </c>
      <c r="R12" s="25">
        <f>IF(ISNA(MATCH($D12,'随時②-2'!$D$4:$D$18,0)),0,1)</f>
        <v>0</v>
      </c>
      <c r="S12" s="63">
        <f t="shared" si="1"/>
      </c>
      <c r="T12" s="63">
        <f t="shared" si="3"/>
      </c>
      <c r="U12" s="5">
        <f t="shared" si="4"/>
        <v>1</v>
      </c>
      <c r="V12" s="5" t="s">
        <v>158</v>
      </c>
      <c r="W12" s="5">
        <v>5</v>
      </c>
    </row>
    <row r="13" spans="1:23" ht="13.5" customHeight="1">
      <c r="A13" s="313">
        <f>'1-2'!A13</f>
        <v>0</v>
      </c>
      <c r="B13" s="314">
        <f>'1-2'!B13</f>
        <v>0</v>
      </c>
      <c r="C13" s="480">
        <f>'1-2'!C13</f>
        <v>0</v>
      </c>
      <c r="D13" s="274">
        <v>10</v>
      </c>
      <c r="E13" s="315" t="str">
        <f>IF($R13=1,"",VLOOKUP($D13,'1-2'!$D$4:$L$103,2))</f>
        <v>報償費</v>
      </c>
      <c r="F13" s="316" t="str">
        <f>IF($R13=1,"取消し",VLOOKUP($D13,'1-2'!$D$4:$L$103,3))</f>
        <v>職員研修講師謝金</v>
      </c>
      <c r="G13" s="225">
        <f>IF($R13=1,,VLOOKUP($D13,'1-2'!$D$4:$L$103,4))</f>
        <v>20000</v>
      </c>
      <c r="H13" s="317">
        <f>IF($R13=1,,VLOOKUP($D13,'1-2'!$D$4:$L$103,5))</f>
        <v>1</v>
      </c>
      <c r="I13" s="317">
        <f>IF($R13=1,,VLOOKUP($D13,'1-2'!$D$4:$L$103,6))</f>
        <v>1</v>
      </c>
      <c r="J13" s="318">
        <f>IF($R13=1,,VLOOKUP($D13,'1-2'!$D$4:$L$103,7))</f>
        <v>20000</v>
      </c>
      <c r="K13" s="319" t="str">
        <f t="shared" si="5"/>
        <v>職員研修講師謝金</v>
      </c>
      <c r="L13" s="320">
        <v>5000</v>
      </c>
      <c r="M13" s="321">
        <v>4</v>
      </c>
      <c r="N13" s="321">
        <f aca="true" t="shared" si="9" ref="N13:N74">I13</f>
        <v>1</v>
      </c>
      <c r="O13" s="310">
        <f t="shared" si="2"/>
        <v>20000</v>
      </c>
      <c r="P13" s="311">
        <f>IF($R13=1,"",VLOOKUP($D13,'1-2'!$D$4:$L$103,8))</f>
        <v>0</v>
      </c>
      <c r="Q13" s="312">
        <f>IF($R13=1,"",VLOOKUP($D13,'1-2'!$D$4:$L$103,9))</f>
        <v>0</v>
      </c>
      <c r="R13" s="25">
        <f>IF(ISNA(MATCH($D13,'随時②-2'!$D$4:$D$18,0)),0,1)</f>
        <v>0</v>
      </c>
      <c r="S13" s="63">
        <f t="shared" si="1"/>
      </c>
      <c r="T13" s="63">
        <f t="shared" si="3"/>
      </c>
      <c r="U13" s="5">
        <f t="shared" si="4"/>
        <v>1</v>
      </c>
      <c r="V13" s="5" t="s">
        <v>159</v>
      </c>
      <c r="W13" s="5">
        <v>2</v>
      </c>
    </row>
    <row r="14" spans="1:21" ht="13.5" customHeight="1">
      <c r="A14" s="313">
        <f>'1-2'!A14</f>
        <v>0</v>
      </c>
      <c r="B14" s="314">
        <f>'1-2'!B14</f>
        <v>0</v>
      </c>
      <c r="C14" s="480">
        <f>'1-2'!C14</f>
        <v>0</v>
      </c>
      <c r="D14" s="255">
        <v>11</v>
      </c>
      <c r="E14" s="315" t="str">
        <f>IF($R14=1,"",VLOOKUP($D14,'1-2'!$D$4:$L$103,2))</f>
        <v>報償費</v>
      </c>
      <c r="F14" s="316" t="str">
        <f>IF($R14=1,"取消し",VLOOKUP($D14,'1-2'!$D$4:$L$103,3))</f>
        <v>就職コーディネーター謝金</v>
      </c>
      <c r="G14" s="225">
        <f>IF($R14=1,,VLOOKUP($D14,'1-2'!$D$4:$L$103,4))</f>
        <v>5000</v>
      </c>
      <c r="H14" s="317">
        <f>IF($R14=1,,VLOOKUP($D14,'1-2'!$D$4:$L$103,5))</f>
        <v>1</v>
      </c>
      <c r="I14" s="317">
        <f>IF($R14=1,,VLOOKUP($D14,'1-2'!$D$4:$L$103,6))</f>
        <v>40</v>
      </c>
      <c r="J14" s="318">
        <f>IF($R14=1,,VLOOKUP($D14,'1-2'!$D$4:$L$103,7))</f>
        <v>200000</v>
      </c>
      <c r="K14" s="319" t="str">
        <f t="shared" si="5"/>
        <v>就職コーディネーター謝金</v>
      </c>
      <c r="L14" s="320">
        <v>2000</v>
      </c>
      <c r="M14" s="321">
        <f t="shared" si="8"/>
        <v>1</v>
      </c>
      <c r="N14" s="321">
        <v>74</v>
      </c>
      <c r="O14" s="310">
        <f t="shared" si="2"/>
        <v>148000</v>
      </c>
      <c r="P14" s="311">
        <f>IF($R14=1,"",VLOOKUP($D14,'1-2'!$D$4:$L$103,8))</f>
        <v>0</v>
      </c>
      <c r="Q14" s="312">
        <f>IF($R14=1,"",VLOOKUP($D14,'1-2'!$D$4:$L$103,9))</f>
        <v>0</v>
      </c>
      <c r="R14" s="25">
        <f>IF(ISNA(MATCH($D14,'随時②-2'!$D$4:$D$18,0)),0,1)</f>
        <v>0</v>
      </c>
      <c r="S14" s="63">
        <f t="shared" si="1"/>
      </c>
      <c r="T14" s="63">
        <f t="shared" si="3"/>
      </c>
      <c r="U14" s="5">
        <f t="shared" si="4"/>
        <v>1</v>
      </c>
    </row>
    <row r="15" spans="1:21" ht="13.5" customHeight="1">
      <c r="A15" s="313">
        <f>'1-2'!A15</f>
        <v>0</v>
      </c>
      <c r="B15" s="314">
        <f>'1-2'!B15</f>
        <v>0</v>
      </c>
      <c r="C15" s="480">
        <f>'1-2'!C15</f>
        <v>0</v>
      </c>
      <c r="D15" s="255">
        <v>12</v>
      </c>
      <c r="E15" s="315" t="str">
        <f>IF($R15=1,"",VLOOKUP($D15,'1-2'!$D$4:$L$103,2))</f>
        <v>旅費</v>
      </c>
      <c r="F15" s="316" t="str">
        <f>IF($R15=1,"取消し",VLOOKUP($D15,'1-2'!$D$4:$L$103,3))</f>
        <v>職員研修講師旅費</v>
      </c>
      <c r="G15" s="225">
        <f>IF($R15=1,,VLOOKUP($D15,'1-2'!$D$4:$L$103,4))</f>
        <v>7000</v>
      </c>
      <c r="H15" s="317">
        <f>IF($R15=1,,VLOOKUP($D15,'1-2'!$D$4:$L$103,5))</f>
        <v>1</v>
      </c>
      <c r="I15" s="317">
        <f>IF($R15=1,,VLOOKUP($D15,'1-2'!$D$4:$L$103,6))</f>
        <v>1</v>
      </c>
      <c r="J15" s="318">
        <f>IF($R15=1,,VLOOKUP($D15,'1-2'!$D$4:$L$103,7))</f>
        <v>7000</v>
      </c>
      <c r="K15" s="319" t="str">
        <f t="shared" si="5"/>
        <v>職員研修講師旅費</v>
      </c>
      <c r="L15" s="320">
        <v>5920</v>
      </c>
      <c r="M15" s="321">
        <f t="shared" si="8"/>
        <v>1</v>
      </c>
      <c r="N15" s="321">
        <f t="shared" si="9"/>
        <v>1</v>
      </c>
      <c r="O15" s="310">
        <f t="shared" si="2"/>
        <v>5920</v>
      </c>
      <c r="P15" s="311">
        <f>IF($R15=1,"",VLOOKUP($D15,'1-2'!$D$4:$L$103,8))</f>
        <v>0</v>
      </c>
      <c r="Q15" s="312">
        <f>IF($R15=1,"",VLOOKUP($D15,'1-2'!$D$4:$L$103,9))</f>
        <v>0</v>
      </c>
      <c r="R15" s="25">
        <f>IF(ISNA(MATCH($D15,'随時②-2'!$D$4:$D$18,0)),0,1)</f>
        <v>0</v>
      </c>
      <c r="S15" s="63">
        <f t="shared" si="1"/>
      </c>
      <c r="T15" s="63">
        <f t="shared" si="3"/>
      </c>
      <c r="U15" s="5">
        <f t="shared" si="4"/>
        <v>2</v>
      </c>
    </row>
    <row r="16" spans="1:21" ht="13.5" customHeight="1">
      <c r="A16" s="313">
        <f>'1-2'!A16</f>
        <v>0</v>
      </c>
      <c r="B16" s="314">
        <f>'1-2'!B16</f>
        <v>0</v>
      </c>
      <c r="C16" s="480">
        <f>'1-2'!C16</f>
        <v>0</v>
      </c>
      <c r="D16" s="255">
        <v>13</v>
      </c>
      <c r="E16" s="315" t="str">
        <f>IF($R16=1,"",VLOOKUP($D16,'1-2'!$D$4:$L$103,2))</f>
        <v>消耗需用費</v>
      </c>
      <c r="F16" s="316" t="str">
        <f>IF($R16=1,"取消し",VLOOKUP($D16,'1-2'!$D$4:$L$103,3))</f>
        <v>図書等消耗品</v>
      </c>
      <c r="G16" s="225">
        <f>IF($R16=1,,VLOOKUP($D16,'1-2'!$D$4:$L$103,4))</f>
        <v>5000</v>
      </c>
      <c r="H16" s="317">
        <f>IF($R16=1,,VLOOKUP($D16,'1-2'!$D$4:$L$103,5))</f>
        <v>1</v>
      </c>
      <c r="I16" s="317">
        <f>IF($R16=1,,VLOOKUP($D16,'1-2'!$D$4:$L$103,6))</f>
        <v>1</v>
      </c>
      <c r="J16" s="318">
        <f>IF($R16=1,,VLOOKUP($D16,'1-2'!$D$4:$L$103,7))</f>
        <v>5000</v>
      </c>
      <c r="K16" s="319" t="str">
        <f t="shared" si="5"/>
        <v>図書等消耗品</v>
      </c>
      <c r="L16" s="320">
        <f t="shared" si="7"/>
        <v>5000</v>
      </c>
      <c r="M16" s="321">
        <f t="shared" si="8"/>
        <v>1</v>
      </c>
      <c r="N16" s="321">
        <v>0</v>
      </c>
      <c r="O16" s="310">
        <f t="shared" si="2"/>
        <v>0</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f>'1-2'!A17</f>
        <v>0</v>
      </c>
      <c r="B17" s="314">
        <f>'1-2'!B17</f>
        <v>0</v>
      </c>
      <c r="C17" s="480">
        <f>'1-2'!C17</f>
        <v>0</v>
      </c>
      <c r="D17" s="255">
        <v>14</v>
      </c>
      <c r="E17" s="315">
        <f>IF($R17=1,"",VLOOKUP($D17,'1-2'!$D$4:$L$103,2))</f>
        <v>0</v>
      </c>
      <c r="F17" s="316">
        <f>IF($R17=1,"取消し",VLOOKUP($D17,'1-2'!$D$4:$L$103,3))</f>
        <v>0</v>
      </c>
      <c r="G17" s="225">
        <f>IF($R17=1,,VLOOKUP($D17,'1-2'!$D$4:$L$103,4))</f>
        <v>0</v>
      </c>
      <c r="H17" s="317">
        <f>IF($R17=1,,VLOOKUP($D17,'1-2'!$D$4:$L$103,5))</f>
        <v>0</v>
      </c>
      <c r="I17" s="317">
        <f>IF($R17=1,,VLOOKUP($D17,'1-2'!$D$4:$L$103,6))</f>
        <v>0</v>
      </c>
      <c r="J17" s="318">
        <f>IF($R17=1,,VLOOKUP($D17,'1-2'!$D$4:$L$103,7))</f>
        <v>0</v>
      </c>
      <c r="K17" s="319">
        <f t="shared" si="5"/>
        <v>0</v>
      </c>
      <c r="L17" s="320">
        <f t="shared" si="7"/>
        <v>0</v>
      </c>
      <c r="M17" s="321">
        <f t="shared" si="8"/>
        <v>0</v>
      </c>
      <c r="N17" s="321">
        <f t="shared" si="9"/>
        <v>0</v>
      </c>
      <c r="O17" s="310">
        <f t="shared" si="2"/>
        <v>0</v>
      </c>
      <c r="P17" s="311">
        <f>IF($R17=1,"",VLOOKUP($D17,'1-2'!$D$4:$L$103,8))</f>
        <v>0</v>
      </c>
      <c r="Q17" s="312">
        <f>IF($R17=1,"",VLOOKUP($D17,'1-2'!$D$4:$L$103,9))</f>
        <v>0</v>
      </c>
      <c r="R17" s="25">
        <f>IF(ISNA(MATCH($D17,'随時②-2'!$D$4:$D$18,0)),0,1)</f>
        <v>0</v>
      </c>
      <c r="S17" s="63">
        <f t="shared" si="1"/>
      </c>
      <c r="T17" s="63">
        <f t="shared" si="3"/>
      </c>
      <c r="U17" s="5">
        <f t="shared" si="4"/>
      </c>
    </row>
    <row r="18" spans="1:21" ht="13.5" customHeight="1">
      <c r="A18" s="313">
        <f>'1-2'!A18</f>
        <v>0</v>
      </c>
      <c r="B18" s="314">
        <f>'1-2'!B18</f>
        <v>0</v>
      </c>
      <c r="C18" s="480">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7"/>
        <v>0</v>
      </c>
      <c r="M18" s="321">
        <f t="shared" si="8"/>
        <v>0</v>
      </c>
      <c r="N18" s="321">
        <f t="shared" si="9"/>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t="str">
        <f>'1-2'!B19</f>
        <v>4-(1)</v>
      </c>
      <c r="C19" s="480" t="str">
        <f>'1-2'!C19</f>
        <v>教職員の力量と本校の信頼度アップ</v>
      </c>
      <c r="D19" s="255">
        <v>16</v>
      </c>
      <c r="E19" s="315" t="str">
        <f>IF($R19=1,"",VLOOKUP($D19,'1-2'!$D$4:$L$103,2))</f>
        <v>旅費</v>
      </c>
      <c r="F19" s="316" t="str">
        <f>IF($R19=1,"取消し",VLOOKUP($D19,'1-2'!$D$4:$L$103,3))</f>
        <v>全国校長協会総会</v>
      </c>
      <c r="G19" s="225">
        <f>IF($R19=1,,VLOOKUP($D19,'1-2'!$D$4:$L$103,4))</f>
        <v>55000</v>
      </c>
      <c r="H19" s="317">
        <f>IF($R19=1,,VLOOKUP($D19,'1-2'!$D$4:$L$103,5))</f>
        <v>1</v>
      </c>
      <c r="I19" s="317">
        <f>IF($R19=1,,VLOOKUP($D19,'1-2'!$D$4:$L$103,6))</f>
        <v>1</v>
      </c>
      <c r="J19" s="318">
        <f>IF($R19=1,,VLOOKUP($D19,'1-2'!$D$4:$L$103,7))</f>
        <v>55000</v>
      </c>
      <c r="K19" s="319" t="str">
        <f t="shared" si="5"/>
        <v>全国校長協会総会</v>
      </c>
      <c r="L19" s="320">
        <v>48720</v>
      </c>
      <c r="M19" s="321">
        <f t="shared" si="8"/>
        <v>1</v>
      </c>
      <c r="N19" s="321">
        <f t="shared" si="9"/>
        <v>1</v>
      </c>
      <c r="O19" s="310">
        <f t="shared" si="2"/>
        <v>48720</v>
      </c>
      <c r="P19" s="311">
        <f>IF($R19=1,"",VLOOKUP($D19,'1-2'!$D$4:$L$103,8))</f>
        <v>0</v>
      </c>
      <c r="Q19" s="312">
        <f>IF($R19=1,"",VLOOKUP($D19,'1-2'!$D$4:$L$103,9))</f>
        <v>0</v>
      </c>
      <c r="R19" s="25">
        <f>IF(ISNA(MATCH($D19,'随時②-2'!$D$4:$D$18,0)),0,1)</f>
        <v>0</v>
      </c>
      <c r="S19" s="63">
        <f t="shared" si="1"/>
      </c>
      <c r="T19" s="63">
        <f t="shared" si="3"/>
      </c>
      <c r="U19" s="5">
        <f t="shared" si="4"/>
        <v>2</v>
      </c>
    </row>
    <row r="20" spans="1:21" ht="13.5" customHeight="1">
      <c r="A20" s="313">
        <f>'1-2'!A20</f>
        <v>0</v>
      </c>
      <c r="B20" s="314">
        <f>'1-2'!B20</f>
        <v>0</v>
      </c>
      <c r="C20" s="480">
        <f>'1-2'!C20</f>
        <v>0</v>
      </c>
      <c r="D20" s="255">
        <v>17</v>
      </c>
      <c r="E20" s="315" t="str">
        <f>IF($R20=1,"",VLOOKUP($D20,'1-2'!$D$4:$L$103,2))</f>
        <v>旅費</v>
      </c>
      <c r="F20" s="316" t="str">
        <f>IF($R20=1,"取消し",VLOOKUP($D20,'1-2'!$D$4:$L$103,3))</f>
        <v>中学校訪問旅費</v>
      </c>
      <c r="G20" s="225">
        <f>IF($R20=1,,VLOOKUP($D20,'1-2'!$D$4:$L$103,4))</f>
        <v>400</v>
      </c>
      <c r="H20" s="317">
        <f>IF($R20=1,,VLOOKUP($D20,'1-2'!$D$4:$L$103,5))</f>
        <v>50</v>
      </c>
      <c r="I20" s="317">
        <f>IF($R20=1,,VLOOKUP($D20,'1-2'!$D$4:$L$103,6))</f>
        <v>1</v>
      </c>
      <c r="J20" s="318">
        <f>IF($R20=1,,VLOOKUP($D20,'1-2'!$D$4:$L$103,7))</f>
        <v>20000</v>
      </c>
      <c r="K20" s="319" t="str">
        <f t="shared" si="5"/>
        <v>中学校訪問旅費</v>
      </c>
      <c r="L20" s="320">
        <f t="shared" si="7"/>
        <v>400</v>
      </c>
      <c r="M20" s="321">
        <f t="shared" si="8"/>
        <v>50</v>
      </c>
      <c r="N20" s="321">
        <v>0</v>
      </c>
      <c r="O20" s="310">
        <f t="shared" si="2"/>
        <v>0</v>
      </c>
      <c r="P20" s="311">
        <f>IF($R20=1,"",VLOOKUP($D20,'1-2'!$D$4:$L$103,8))</f>
        <v>0</v>
      </c>
      <c r="Q20" s="312">
        <f>IF($R20=1,"",VLOOKUP($D20,'1-2'!$D$4:$L$103,9))</f>
        <v>0</v>
      </c>
      <c r="R20" s="25">
        <f>IF(ISNA(MATCH($D20,'随時②-2'!$D$4:$D$18,0)),0,1)</f>
        <v>0</v>
      </c>
      <c r="S20" s="63">
        <f t="shared" si="1"/>
      </c>
      <c r="T20" s="63">
        <f t="shared" si="3"/>
      </c>
      <c r="U20" s="5">
        <f t="shared" si="4"/>
        <v>2</v>
      </c>
    </row>
    <row r="21" spans="1:21" ht="13.5" customHeight="1">
      <c r="A21" s="313">
        <f>'1-2'!A21</f>
        <v>0</v>
      </c>
      <c r="B21" s="314">
        <f>'1-2'!B21</f>
        <v>0</v>
      </c>
      <c r="C21" s="480">
        <f>'1-2'!C21</f>
        <v>0</v>
      </c>
      <c r="D21" s="255">
        <v>18</v>
      </c>
      <c r="E21" s="315" t="str">
        <f>IF($R21=1,"",VLOOKUP($D21,'1-2'!$D$4:$L$103,2))</f>
        <v>消耗需用費</v>
      </c>
      <c r="F21" s="316" t="str">
        <f>IF($R21=1,"取消し",VLOOKUP($D21,'1-2'!$D$4:$L$103,3))</f>
        <v>全国校長協会総会資料</v>
      </c>
      <c r="G21" s="225">
        <f>IF($R21=1,,VLOOKUP($D21,'1-2'!$D$4:$L$103,4))</f>
        <v>3000</v>
      </c>
      <c r="H21" s="317">
        <f>IF($R21=1,,VLOOKUP($D21,'1-2'!$D$4:$L$103,5))</f>
        <v>1</v>
      </c>
      <c r="I21" s="317">
        <f>IF($R21=1,,VLOOKUP($D21,'1-2'!$D$4:$L$103,6))</f>
        <v>1</v>
      </c>
      <c r="J21" s="318">
        <f>IF($R21=1,,VLOOKUP($D21,'1-2'!$D$4:$L$103,7))</f>
        <v>3000</v>
      </c>
      <c r="K21" s="319" t="str">
        <f t="shared" si="5"/>
        <v>全国校長協会総会資料</v>
      </c>
      <c r="L21" s="320">
        <f t="shared" si="7"/>
        <v>3000</v>
      </c>
      <c r="M21" s="321">
        <f t="shared" si="8"/>
        <v>1</v>
      </c>
      <c r="N21" s="321">
        <f t="shared" si="9"/>
        <v>1</v>
      </c>
      <c r="O21" s="310">
        <f t="shared" si="2"/>
        <v>3000</v>
      </c>
      <c r="P21" s="311">
        <f>IF($R21=1,"",VLOOKUP($D21,'1-2'!$D$4:$L$103,8))</f>
        <v>0</v>
      </c>
      <c r="Q21" s="312">
        <f>IF($R21=1,"",VLOOKUP($D21,'1-2'!$D$4:$L$103,9))</f>
        <v>0</v>
      </c>
      <c r="R21" s="25">
        <f>IF(ISNA(MATCH($D21,'随時②-2'!$D$4:$D$18,0)),0,1)</f>
        <v>0</v>
      </c>
      <c r="S21" s="63">
        <f t="shared" si="1"/>
      </c>
      <c r="T21" s="63">
        <f t="shared" si="3"/>
      </c>
      <c r="U21" s="5">
        <f t="shared" si="4"/>
        <v>7</v>
      </c>
    </row>
    <row r="22" spans="1:21" ht="13.5" customHeight="1">
      <c r="A22" s="313">
        <f>'1-2'!A22</f>
        <v>0</v>
      </c>
      <c r="B22" s="314">
        <f>'1-2'!B22</f>
        <v>0</v>
      </c>
      <c r="C22" s="480">
        <f>'1-2'!C22</f>
        <v>0</v>
      </c>
      <c r="D22" s="255">
        <v>19</v>
      </c>
      <c r="E22" s="315" t="str">
        <f>IF($R22=1,"",VLOOKUP($D22,'1-2'!$D$4:$L$103,2))</f>
        <v>消耗需用費</v>
      </c>
      <c r="F22" s="316" t="str">
        <f>IF($R22=1,"取消し",VLOOKUP($D22,'1-2'!$D$4:$L$103,3))</f>
        <v>学校案内、ポスター作製費</v>
      </c>
      <c r="G22" s="225">
        <f>IF($R22=1,,VLOOKUP($D22,'1-2'!$D$4:$L$103,4))</f>
        <v>42000</v>
      </c>
      <c r="H22" s="317">
        <f>IF($R22=1,,VLOOKUP($D22,'1-2'!$D$4:$L$103,5))</f>
        <v>1</v>
      </c>
      <c r="I22" s="317">
        <f>IF($R22=1,,VLOOKUP($D22,'1-2'!$D$4:$L$103,6))</f>
        <v>1</v>
      </c>
      <c r="J22" s="318">
        <f>IF($R22=1,,VLOOKUP($D22,'1-2'!$D$4:$L$103,7))</f>
        <v>42000</v>
      </c>
      <c r="K22" s="319" t="str">
        <f t="shared" si="5"/>
        <v>学校案内、ポスター作製費</v>
      </c>
      <c r="L22" s="320">
        <f t="shared" si="7"/>
        <v>42000</v>
      </c>
      <c r="M22" s="321">
        <f t="shared" si="8"/>
        <v>1</v>
      </c>
      <c r="N22" s="321">
        <v>0</v>
      </c>
      <c r="O22" s="310">
        <f t="shared" si="2"/>
        <v>0</v>
      </c>
      <c r="P22" s="311">
        <f>IF($R22=1,"",VLOOKUP($D22,'1-2'!$D$4:$L$103,8))</f>
        <v>0</v>
      </c>
      <c r="Q22" s="312">
        <f>IF($R22=1,"",VLOOKUP($D22,'1-2'!$D$4:$L$103,9))</f>
        <v>0</v>
      </c>
      <c r="R22" s="25">
        <f>IF(ISNA(MATCH($D22,'随時②-2'!$D$4:$D$18,0)),0,1)</f>
        <v>0</v>
      </c>
      <c r="S22" s="63">
        <f t="shared" si="1"/>
      </c>
      <c r="T22" s="63">
        <f t="shared" si="3"/>
      </c>
      <c r="U22" s="5">
        <f t="shared" si="4"/>
        <v>7</v>
      </c>
    </row>
    <row r="23" spans="1:21" ht="13.5" customHeight="1">
      <c r="A23" s="313">
        <f>'1-2'!A23</f>
        <v>0</v>
      </c>
      <c r="B23" s="314">
        <f>'1-2'!B23</f>
        <v>0</v>
      </c>
      <c r="C23" s="480">
        <f>'1-2'!C23</f>
        <v>0</v>
      </c>
      <c r="D23" s="255">
        <v>20</v>
      </c>
      <c r="E23" s="315" t="str">
        <f>IF($R23=1,"",VLOOKUP($D23,'1-2'!$D$4:$L$103,2))</f>
        <v>消耗需用費</v>
      </c>
      <c r="F23" s="316" t="str">
        <f>IF($R23=1,"取消し",VLOOKUP($D23,'1-2'!$D$4:$L$103,3))</f>
        <v>広報活動用消耗品</v>
      </c>
      <c r="G23" s="225">
        <f>IF($R23=1,,VLOOKUP($D23,'1-2'!$D$4:$L$103,4))</f>
        <v>50210</v>
      </c>
      <c r="H23" s="317">
        <f>IF($R23=1,,VLOOKUP($D23,'1-2'!$D$4:$L$103,5))</f>
        <v>1</v>
      </c>
      <c r="I23" s="317">
        <f>IF($R23=1,,VLOOKUP($D23,'1-2'!$D$4:$L$103,6))</f>
        <v>1</v>
      </c>
      <c r="J23" s="318">
        <f>IF($R23=1,,VLOOKUP($D23,'1-2'!$D$4:$L$103,7))</f>
        <v>50210</v>
      </c>
      <c r="K23" s="319" t="str">
        <f t="shared" si="5"/>
        <v>広報活動用消耗品</v>
      </c>
      <c r="L23" s="320">
        <f t="shared" si="7"/>
        <v>50210</v>
      </c>
      <c r="M23" s="321">
        <f t="shared" si="8"/>
        <v>1</v>
      </c>
      <c r="N23" s="321">
        <v>0</v>
      </c>
      <c r="O23" s="310">
        <f t="shared" si="2"/>
        <v>0</v>
      </c>
      <c r="P23" s="311">
        <f>IF($R23=1,"",VLOOKUP($D23,'1-2'!$D$4:$L$103,8))</f>
        <v>0</v>
      </c>
      <c r="Q23" s="312">
        <f>IF($R23=1,"",VLOOKUP($D23,'1-2'!$D$4:$L$103,9))</f>
        <v>0</v>
      </c>
      <c r="R23" s="25">
        <f>IF(ISNA(MATCH($D23,'随時②-2'!$D$4:$D$18,0)),0,1)</f>
        <v>0</v>
      </c>
      <c r="S23" s="63">
        <f t="shared" si="1"/>
      </c>
      <c r="T23" s="63">
        <f t="shared" si="3"/>
      </c>
      <c r="U23" s="5">
        <f t="shared" si="4"/>
        <v>7</v>
      </c>
    </row>
    <row r="24" spans="1:21" ht="13.5" customHeight="1">
      <c r="A24" s="313">
        <f>'1-2'!A24</f>
        <v>0</v>
      </c>
      <c r="B24" s="314">
        <f>'1-2'!B24</f>
        <v>0</v>
      </c>
      <c r="C24" s="480">
        <f>'1-2'!C24</f>
        <v>0</v>
      </c>
      <c r="D24" s="255">
        <v>21</v>
      </c>
      <c r="E24" s="315" t="str">
        <f>IF($R24=1,"",VLOOKUP($D24,'1-2'!$D$4:$L$103,2))</f>
        <v>消耗需用費</v>
      </c>
      <c r="F24" s="316" t="str">
        <f>IF($R24=1,"取消し",VLOOKUP($D24,'1-2'!$D$4:$L$103,3))</f>
        <v>学校説明会模擬授業用消耗品</v>
      </c>
      <c r="G24" s="225">
        <f>IF($R24=1,,VLOOKUP($D24,'1-2'!$D$4:$L$103,4))</f>
        <v>50000</v>
      </c>
      <c r="H24" s="317">
        <f>IF($R24=1,,VLOOKUP($D24,'1-2'!$D$4:$L$103,5))</f>
        <v>1</v>
      </c>
      <c r="I24" s="317">
        <f>IF($R24=1,,VLOOKUP($D24,'1-2'!$D$4:$L$103,6))</f>
        <v>1</v>
      </c>
      <c r="J24" s="318">
        <f>IF($R24=1,,VLOOKUP($D24,'1-2'!$D$4:$L$103,7))</f>
        <v>50000</v>
      </c>
      <c r="K24" s="319" t="str">
        <f t="shared" si="5"/>
        <v>学校説明会模擬授業用消耗品</v>
      </c>
      <c r="L24" s="320">
        <f t="shared" si="7"/>
        <v>50000</v>
      </c>
      <c r="M24" s="321">
        <f t="shared" si="8"/>
        <v>1</v>
      </c>
      <c r="N24" s="321">
        <v>0</v>
      </c>
      <c r="O24" s="310">
        <f t="shared" si="2"/>
        <v>0</v>
      </c>
      <c r="P24" s="311">
        <f>IF($R24=1,"",VLOOKUP($D24,'1-2'!$D$4:$L$103,8))</f>
        <v>0</v>
      </c>
      <c r="Q24" s="312">
        <f>IF($R24=1,"",VLOOKUP($D24,'1-2'!$D$4:$L$103,9))</f>
        <v>0</v>
      </c>
      <c r="R24" s="25">
        <f>IF(ISNA(MATCH($D24,'随時②-2'!$D$4:$D$18,0)),0,1)</f>
        <v>0</v>
      </c>
      <c r="S24" s="63">
        <f t="shared" si="1"/>
      </c>
      <c r="T24" s="63">
        <f t="shared" si="3"/>
      </c>
      <c r="U24" s="5">
        <f t="shared" si="4"/>
        <v>7</v>
      </c>
    </row>
    <row r="25" spans="1:21" ht="13.5" customHeight="1">
      <c r="A25" s="313">
        <f>'1-2'!A25</f>
        <v>0</v>
      </c>
      <c r="B25" s="314">
        <f>'1-2'!B25</f>
        <v>0</v>
      </c>
      <c r="C25" s="480">
        <f>'1-2'!C25</f>
        <v>0</v>
      </c>
      <c r="D25" s="255">
        <v>22</v>
      </c>
      <c r="E25" s="315" t="str">
        <f>IF($R25=1,"",VLOOKUP($D25,'1-2'!$D$4:$L$103,2))</f>
        <v>役務費</v>
      </c>
      <c r="F25" s="316" t="str">
        <f>IF($R25=1,"取消し",VLOOKUP($D25,'1-2'!$D$4:$L$103,3))</f>
        <v>学校説明会案内送付費</v>
      </c>
      <c r="G25" s="225">
        <f>IF($R25=1,,VLOOKUP($D25,'1-2'!$D$4:$L$103,4))</f>
        <v>82</v>
      </c>
      <c r="H25" s="317">
        <f>IF($R25=1,,VLOOKUP($D25,'1-2'!$D$4:$L$103,5))</f>
        <v>80</v>
      </c>
      <c r="I25" s="317">
        <f>IF($R25=1,,VLOOKUP($D25,'1-2'!$D$4:$L$103,6))</f>
        <v>1</v>
      </c>
      <c r="J25" s="318">
        <f>IF($R25=1,,VLOOKUP($D25,'1-2'!$D$4:$L$103,7))</f>
        <v>6560</v>
      </c>
      <c r="K25" s="319" t="str">
        <f t="shared" si="5"/>
        <v>学校説明会案内送付費</v>
      </c>
      <c r="L25" s="320">
        <f t="shared" si="7"/>
        <v>82</v>
      </c>
      <c r="M25" s="321">
        <f t="shared" si="8"/>
        <v>80</v>
      </c>
      <c r="N25" s="321">
        <v>0</v>
      </c>
      <c r="O25" s="310">
        <f t="shared" si="2"/>
        <v>0</v>
      </c>
      <c r="P25" s="311">
        <f>IF($R25=1,"",VLOOKUP($D25,'1-2'!$D$4:$L$103,8))</f>
        <v>0</v>
      </c>
      <c r="Q25" s="312">
        <f>IF($R25=1,"",VLOOKUP($D25,'1-2'!$D$4:$L$103,9))</f>
        <v>0</v>
      </c>
      <c r="R25" s="25">
        <f>IF(ISNA(MATCH($D25,'随時②-2'!$D$4:$D$18,0)),0,1)</f>
        <v>0</v>
      </c>
      <c r="S25" s="63">
        <f t="shared" si="1"/>
      </c>
      <c r="T25" s="63">
        <f t="shared" si="3"/>
      </c>
      <c r="U25" s="5">
        <f t="shared" si="4"/>
        <v>5</v>
      </c>
    </row>
    <row r="26" spans="1:21" ht="13.5" customHeight="1">
      <c r="A26" s="313">
        <f>'1-2'!A26</f>
        <v>0</v>
      </c>
      <c r="B26" s="314">
        <f>'1-2'!B26</f>
        <v>0</v>
      </c>
      <c r="C26" s="480">
        <f>'1-2'!C26</f>
        <v>0</v>
      </c>
      <c r="D26" s="255">
        <v>23</v>
      </c>
      <c r="E26" s="315" t="str">
        <f>IF($R26=1,"",VLOOKUP($D26,'1-2'!$D$4:$L$103,2))</f>
        <v>役務費</v>
      </c>
      <c r="F26" s="316" t="str">
        <f>IF($R26=1,"取消し",VLOOKUP($D26,'1-2'!$D$4:$L$103,3))</f>
        <v>保護者懇談会等案内送付費</v>
      </c>
      <c r="G26" s="225">
        <f>IF($R26=1,,VLOOKUP($D26,'1-2'!$D$4:$L$103,4))</f>
        <v>82</v>
      </c>
      <c r="H26" s="317">
        <f>IF($R26=1,,VLOOKUP($D26,'1-2'!$D$4:$L$103,5))</f>
        <v>80</v>
      </c>
      <c r="I26" s="317">
        <f>IF($R26=1,,VLOOKUP($D26,'1-2'!$D$4:$L$103,6))</f>
        <v>1</v>
      </c>
      <c r="J26" s="318">
        <f>IF($R26=1,,VLOOKUP($D26,'1-2'!$D$4:$L$103,7))</f>
        <v>6560</v>
      </c>
      <c r="K26" s="319" t="str">
        <f t="shared" si="5"/>
        <v>保護者懇談会等案内送付費</v>
      </c>
      <c r="L26" s="320">
        <f t="shared" si="7"/>
        <v>82</v>
      </c>
      <c r="M26" s="321">
        <f t="shared" si="8"/>
        <v>80</v>
      </c>
      <c r="N26" s="321">
        <v>0</v>
      </c>
      <c r="O26" s="310">
        <f t="shared" si="2"/>
        <v>0</v>
      </c>
      <c r="P26" s="311">
        <f>IF($R26=1,"",VLOOKUP($D26,'1-2'!$D$4:$L$103,8))</f>
        <v>0</v>
      </c>
      <c r="Q26" s="312">
        <f>IF($R26=1,"",VLOOKUP($D26,'1-2'!$D$4:$L$103,9))</f>
        <v>0</v>
      </c>
      <c r="R26" s="25">
        <f>IF(ISNA(MATCH($D26,'随時②-2'!$D$4:$D$18,0)),0,1)</f>
        <v>0</v>
      </c>
      <c r="S26" s="63">
        <f t="shared" si="1"/>
      </c>
      <c r="T26" s="63">
        <f t="shared" si="3"/>
      </c>
      <c r="U26" s="5">
        <f t="shared" si="4"/>
        <v>5</v>
      </c>
    </row>
    <row r="27" spans="1:21" ht="13.5" customHeight="1">
      <c r="A27" s="313">
        <f>'1-2'!A27</f>
        <v>0</v>
      </c>
      <c r="B27" s="314">
        <f>'1-2'!B27</f>
        <v>0</v>
      </c>
      <c r="C27" s="480">
        <f>'1-2'!C27</f>
        <v>0</v>
      </c>
      <c r="D27" s="255">
        <v>24</v>
      </c>
      <c r="E27" s="315" t="str">
        <f>IF($R27=1,"",VLOOKUP($D27,'1-2'!$D$4:$L$103,2))</f>
        <v>負担金、補助及び交付金</v>
      </c>
      <c r="F27" s="316" t="str">
        <f>IF($R27=1,"取消し",VLOOKUP($D27,'1-2'!$D$4:$L$103,3))</f>
        <v>各種団体負担金</v>
      </c>
      <c r="G27" s="225">
        <f>IF($R27=1,,VLOOKUP($D27,'1-2'!$D$4:$L$103,4))</f>
        <v>49430</v>
      </c>
      <c r="H27" s="317">
        <f>IF($R27=1,,VLOOKUP($D27,'1-2'!$D$4:$L$103,5))</f>
        <v>1</v>
      </c>
      <c r="I27" s="317">
        <f>IF($R27=1,,VLOOKUP($D27,'1-2'!$D$4:$L$103,6))</f>
        <v>1</v>
      </c>
      <c r="J27" s="318">
        <f>IF($R27=1,,VLOOKUP($D27,'1-2'!$D$4:$L$103,7))</f>
        <v>49430</v>
      </c>
      <c r="K27" s="319" t="str">
        <f t="shared" si="5"/>
        <v>各種団体負担金</v>
      </c>
      <c r="L27" s="320">
        <v>37830</v>
      </c>
      <c r="M27" s="321">
        <f t="shared" si="8"/>
        <v>1</v>
      </c>
      <c r="N27" s="321">
        <v>1</v>
      </c>
      <c r="O27" s="310">
        <f t="shared" si="2"/>
        <v>37830</v>
      </c>
      <c r="P27" s="311">
        <f>IF($R27=1,"",VLOOKUP($D27,'1-2'!$D$4:$L$103,8))</f>
        <v>0</v>
      </c>
      <c r="Q27" s="312">
        <f>IF($R27=1,"",VLOOKUP($D27,'1-2'!$D$4:$L$103,9))</f>
        <v>0</v>
      </c>
      <c r="R27" s="25">
        <f>IF(ISNA(MATCH($D27,'随時②-2'!$D$4:$D$18,0)),0,1)</f>
        <v>0</v>
      </c>
      <c r="S27" s="63">
        <f t="shared" si="1"/>
      </c>
      <c r="T27" s="63">
        <f t="shared" si="3"/>
      </c>
      <c r="U27" s="5">
        <f t="shared" si="4"/>
        <v>9</v>
      </c>
    </row>
    <row r="28" spans="1:21" ht="13.5" customHeight="1">
      <c r="A28" s="313">
        <f>'1-2'!A28</f>
        <v>0</v>
      </c>
      <c r="B28" s="314">
        <f>'1-2'!B28</f>
        <v>0</v>
      </c>
      <c r="C28" s="480">
        <f>'1-2'!C28</f>
        <v>0</v>
      </c>
      <c r="D28" s="264">
        <v>25</v>
      </c>
      <c r="E28" s="315" t="str">
        <f>IF($R28=1,"",VLOOKUP($D28,'1-2'!$D$4:$L$103,2))</f>
        <v>負担金、補助及び交付金</v>
      </c>
      <c r="F28" s="316" t="str">
        <f>IF($R28=1,"取消し",VLOOKUP($D28,'1-2'!$D$4:$L$103,3))</f>
        <v>全国校長協会総会参加費</v>
      </c>
      <c r="G28" s="225">
        <f>IF($R28=1,,VLOOKUP($D28,'1-2'!$D$4:$L$103,4))</f>
        <v>2000</v>
      </c>
      <c r="H28" s="317">
        <f>IF($R28=1,,VLOOKUP($D28,'1-2'!$D$4:$L$103,5))</f>
        <v>1</v>
      </c>
      <c r="I28" s="317">
        <f>IF($R28=1,,VLOOKUP($D28,'1-2'!$D$4:$L$103,6))</f>
        <v>1</v>
      </c>
      <c r="J28" s="318">
        <f>IF($R28=1,,VLOOKUP($D28,'1-2'!$D$4:$L$103,7))</f>
        <v>2000</v>
      </c>
      <c r="K28" s="319" t="str">
        <f t="shared" si="5"/>
        <v>全国校長協会総会参加費</v>
      </c>
      <c r="L28" s="320">
        <f t="shared" si="7"/>
        <v>2000</v>
      </c>
      <c r="M28" s="321">
        <f t="shared" si="8"/>
        <v>1</v>
      </c>
      <c r="N28" s="321">
        <f t="shared" si="9"/>
        <v>1</v>
      </c>
      <c r="O28" s="310">
        <f t="shared" si="2"/>
        <v>2000</v>
      </c>
      <c r="P28" s="311">
        <f>IF($R28=1,"",VLOOKUP($D28,'1-2'!$D$4:$L$103,8))</f>
        <v>0</v>
      </c>
      <c r="Q28" s="312">
        <f>IF($R28=1,"",VLOOKUP($D28,'1-2'!$D$4:$L$103,9))</f>
        <v>0</v>
      </c>
      <c r="R28" s="25">
        <f>IF(ISNA(MATCH($D28,'随時②-2'!$D$4:$D$18,0)),0,1)</f>
        <v>0</v>
      </c>
      <c r="S28" s="63">
        <f t="shared" si="1"/>
      </c>
      <c r="T28" s="63">
        <f t="shared" si="3"/>
      </c>
      <c r="U28" s="5">
        <f t="shared" si="4"/>
        <v>9</v>
      </c>
    </row>
    <row r="29" spans="1:21" ht="13.5" customHeight="1">
      <c r="A29" s="313">
        <f>'1-2'!A29</f>
        <v>0</v>
      </c>
      <c r="B29" s="314">
        <f>'1-2'!B29</f>
        <v>0</v>
      </c>
      <c r="C29" s="480">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7"/>
        <v>0</v>
      </c>
      <c r="M29" s="321">
        <f t="shared" si="8"/>
        <v>0</v>
      </c>
      <c r="N29" s="321">
        <f t="shared" si="9"/>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7"/>
        <v>0</v>
      </c>
      <c r="M30" s="321">
        <f t="shared" si="8"/>
        <v>0</v>
      </c>
      <c r="N30" s="321">
        <f t="shared" si="9"/>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7"/>
        <v>0</v>
      </c>
      <c r="M31" s="321">
        <f t="shared" si="8"/>
        <v>0</v>
      </c>
      <c r="N31" s="321">
        <f t="shared" si="9"/>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7"/>
        <v>0</v>
      </c>
      <c r="M32" s="321">
        <f t="shared" si="8"/>
        <v>0</v>
      </c>
      <c r="N32" s="321">
        <f t="shared" si="9"/>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7"/>
        <v>0</v>
      </c>
      <c r="M33" s="321">
        <f t="shared" si="8"/>
        <v>0</v>
      </c>
      <c r="N33" s="321">
        <f t="shared" si="9"/>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7"/>
        <v>0</v>
      </c>
      <c r="M34" s="321">
        <f t="shared" si="8"/>
        <v>0</v>
      </c>
      <c r="N34" s="321">
        <f t="shared" si="9"/>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7"/>
        <v>0</v>
      </c>
      <c r="M35" s="321">
        <f t="shared" si="8"/>
        <v>0</v>
      </c>
      <c r="N35" s="321">
        <f t="shared" si="9"/>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7"/>
        <v>0</v>
      </c>
      <c r="M36" s="321">
        <f t="shared" si="8"/>
        <v>0</v>
      </c>
      <c r="N36" s="321">
        <f t="shared" si="9"/>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7"/>
        <v>0</v>
      </c>
      <c r="M37" s="321">
        <f t="shared" si="8"/>
        <v>0</v>
      </c>
      <c r="N37" s="321">
        <f t="shared" si="9"/>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7"/>
        <v>0</v>
      </c>
      <c r="M38" s="321">
        <f t="shared" si="8"/>
        <v>0</v>
      </c>
      <c r="N38" s="321">
        <f t="shared" si="9"/>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7"/>
        <v>0</v>
      </c>
      <c r="M39" s="321">
        <f t="shared" si="8"/>
        <v>0</v>
      </c>
      <c r="N39" s="321">
        <f t="shared" si="9"/>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7"/>
        <v>0</v>
      </c>
      <c r="M40" s="321">
        <f t="shared" si="8"/>
        <v>0</v>
      </c>
      <c r="N40" s="321">
        <f t="shared" si="9"/>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7"/>
        <v>0</v>
      </c>
      <c r="M41" s="321">
        <f t="shared" si="8"/>
        <v>0</v>
      </c>
      <c r="N41" s="321">
        <f t="shared" si="9"/>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7"/>
        <v>0</v>
      </c>
      <c r="M42" s="321">
        <f t="shared" si="8"/>
        <v>0</v>
      </c>
      <c r="N42" s="321">
        <f t="shared" si="9"/>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7"/>
        <v>0</v>
      </c>
      <c r="M43" s="321">
        <f t="shared" si="8"/>
        <v>0</v>
      </c>
      <c r="N43" s="321">
        <f t="shared" si="9"/>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7"/>
        <v>0</v>
      </c>
      <c r="M44" s="321">
        <f t="shared" si="8"/>
        <v>0</v>
      </c>
      <c r="N44" s="321">
        <f t="shared" si="9"/>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7"/>
        <v>0</v>
      </c>
      <c r="M45" s="321">
        <f t="shared" si="8"/>
        <v>0</v>
      </c>
      <c r="N45" s="321">
        <f t="shared" si="9"/>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7"/>
        <v>0</v>
      </c>
      <c r="M46" s="321">
        <f t="shared" si="8"/>
        <v>0</v>
      </c>
      <c r="N46" s="321">
        <f t="shared" si="9"/>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7"/>
        <v>0</v>
      </c>
      <c r="M47" s="321">
        <f t="shared" si="8"/>
        <v>0</v>
      </c>
      <c r="N47" s="321">
        <f t="shared" si="9"/>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7"/>
        <v>0</v>
      </c>
      <c r="M48" s="321">
        <f t="shared" si="8"/>
        <v>0</v>
      </c>
      <c r="N48" s="321">
        <f t="shared" si="9"/>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7"/>
        <v>0</v>
      </c>
      <c r="M49" s="321">
        <f t="shared" si="8"/>
        <v>0</v>
      </c>
      <c r="N49" s="321">
        <f t="shared" si="9"/>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7"/>
        <v>0</v>
      </c>
      <c r="M50" s="321">
        <f t="shared" si="8"/>
        <v>0</v>
      </c>
      <c r="N50" s="321">
        <f t="shared" si="9"/>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7"/>
        <v>0</v>
      </c>
      <c r="M51" s="321">
        <f t="shared" si="8"/>
        <v>0</v>
      </c>
      <c r="N51" s="321">
        <f t="shared" si="9"/>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7"/>
        <v>0</v>
      </c>
      <c r="M52" s="321">
        <f t="shared" si="8"/>
        <v>0</v>
      </c>
      <c r="N52" s="321">
        <f t="shared" si="9"/>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7"/>
        <v>0</v>
      </c>
      <c r="M53" s="321">
        <f t="shared" si="8"/>
        <v>0</v>
      </c>
      <c r="N53" s="321">
        <f t="shared" si="9"/>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7"/>
        <v>0</v>
      </c>
      <c r="M54" s="321">
        <f t="shared" si="8"/>
        <v>0</v>
      </c>
      <c r="N54" s="321">
        <f t="shared" si="9"/>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7"/>
        <v>0</v>
      </c>
      <c r="M55" s="321">
        <f t="shared" si="8"/>
        <v>0</v>
      </c>
      <c r="N55" s="321">
        <f t="shared" si="9"/>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7"/>
        <v>0</v>
      </c>
      <c r="M56" s="321">
        <f t="shared" si="8"/>
        <v>0</v>
      </c>
      <c r="N56" s="321">
        <f t="shared" si="9"/>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7"/>
        <v>0</v>
      </c>
      <c r="M57" s="321">
        <f t="shared" si="8"/>
        <v>0</v>
      </c>
      <c r="N57" s="321">
        <f t="shared" si="9"/>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7"/>
        <v>0</v>
      </c>
      <c r="M58" s="321">
        <f t="shared" si="8"/>
        <v>0</v>
      </c>
      <c r="N58" s="321">
        <f t="shared" si="9"/>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7"/>
        <v>0</v>
      </c>
      <c r="M59" s="321">
        <f t="shared" si="8"/>
        <v>0</v>
      </c>
      <c r="N59" s="321">
        <f t="shared" si="9"/>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7"/>
        <v>0</v>
      </c>
      <c r="M60" s="321">
        <f t="shared" si="8"/>
        <v>0</v>
      </c>
      <c r="N60" s="321">
        <f t="shared" si="9"/>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7"/>
        <v>0</v>
      </c>
      <c r="M61" s="321">
        <f t="shared" si="8"/>
        <v>0</v>
      </c>
      <c r="N61" s="321">
        <f t="shared" si="9"/>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7"/>
        <v>0</v>
      </c>
      <c r="M62" s="321">
        <f t="shared" si="8"/>
        <v>0</v>
      </c>
      <c r="N62" s="321">
        <f t="shared" si="9"/>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7"/>
        <v>0</v>
      </c>
      <c r="M63" s="321">
        <f t="shared" si="8"/>
        <v>0</v>
      </c>
      <c r="N63" s="321">
        <f t="shared" si="9"/>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7"/>
        <v>0</v>
      </c>
      <c r="M64" s="321">
        <f t="shared" si="8"/>
        <v>0</v>
      </c>
      <c r="N64" s="321">
        <f t="shared" si="9"/>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7"/>
        <v>0</v>
      </c>
      <c r="M65" s="321">
        <f t="shared" si="8"/>
        <v>0</v>
      </c>
      <c r="N65" s="321">
        <f t="shared" si="9"/>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7"/>
        <v>0</v>
      </c>
      <c r="M66" s="321">
        <f t="shared" si="8"/>
        <v>0</v>
      </c>
      <c r="N66" s="321">
        <f t="shared" si="9"/>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7"/>
        <v>0</v>
      </c>
      <c r="M67" s="321">
        <f t="shared" si="8"/>
        <v>0</v>
      </c>
      <c r="N67" s="321">
        <f t="shared" si="9"/>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7"/>
        <v>0</v>
      </c>
      <c r="M68" s="321">
        <f t="shared" si="8"/>
        <v>0</v>
      </c>
      <c r="N68" s="321">
        <f t="shared" si="9"/>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7"/>
        <v>0</v>
      </c>
      <c r="M69" s="321">
        <f t="shared" si="8"/>
        <v>0</v>
      </c>
      <c r="N69" s="321">
        <f t="shared" si="9"/>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7"/>
        <v>0</v>
      </c>
      <c r="M70" s="321">
        <f t="shared" si="8"/>
        <v>0</v>
      </c>
      <c r="N70" s="321">
        <f t="shared" si="9"/>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7"/>
        <v>0</v>
      </c>
      <c r="M71" s="321">
        <f t="shared" si="8"/>
        <v>0</v>
      </c>
      <c r="N71" s="321">
        <f t="shared" si="9"/>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7"/>
        <v>0</v>
      </c>
      <c r="M72" s="321">
        <f t="shared" si="8"/>
        <v>0</v>
      </c>
      <c r="N72" s="321">
        <f t="shared" si="9"/>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7"/>
        <v>0</v>
      </c>
      <c r="M73" s="321">
        <f t="shared" si="8"/>
        <v>0</v>
      </c>
      <c r="N73" s="321">
        <f t="shared" si="9"/>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7"/>
        <v>0</v>
      </c>
      <c r="M74" s="321">
        <f t="shared" si="8"/>
        <v>0</v>
      </c>
      <c r="N74" s="321">
        <f t="shared" si="9"/>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2">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2">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98" t="s">
        <v>178</v>
      </c>
      <c r="I141" s="599"/>
      <c r="J141" s="38" t="s">
        <v>113</v>
      </c>
      <c r="K141" s="38" t="s">
        <v>175</v>
      </c>
      <c r="L141" s="552" t="s">
        <v>176</v>
      </c>
      <c r="M141" s="600"/>
      <c r="N141" s="601" t="s">
        <v>177</v>
      </c>
      <c r="O141" s="602"/>
      <c r="P141" s="616" t="s">
        <v>114</v>
      </c>
      <c r="Q141" s="617"/>
    </row>
    <row r="142" spans="6:17" ht="14.25" thickTop="1">
      <c r="F142" s="347" t="s">
        <v>85</v>
      </c>
      <c r="G142" s="348">
        <f>SUMIF($E$4:$E$138,$F142,$J$4:$J$138)</f>
        <v>440000</v>
      </c>
      <c r="H142" s="603">
        <f>SUMIF($E$4:$E$138,$F142,$S$4:$S$138)</f>
        <v>0</v>
      </c>
      <c r="I142" s="604"/>
      <c r="J142" s="349">
        <f>G142-H142</f>
        <v>440000</v>
      </c>
      <c r="K142" s="348">
        <f>SUMIF($E$4:$E$138,$F142,$O$4:$O$138)</f>
        <v>188000</v>
      </c>
      <c r="L142" s="603">
        <f>SUMIF($E$4:$E$138,$F142,$T$4:$T$138)</f>
        <v>0</v>
      </c>
      <c r="M142" s="605"/>
      <c r="N142" s="606">
        <f>K142-L142</f>
        <v>188000</v>
      </c>
      <c r="O142" s="607"/>
      <c r="P142" s="543">
        <f>J142-N142</f>
        <v>252000</v>
      </c>
      <c r="Q142" s="618"/>
    </row>
    <row r="143" spans="6:17" ht="13.5">
      <c r="F143" s="347" t="s">
        <v>86</v>
      </c>
      <c r="G143" s="350">
        <f aca="true" t="shared" si="22" ref="G143:G150">SUMIF($E$4:$E$138,$F143,$J$4:$J$138)</f>
        <v>132000</v>
      </c>
      <c r="H143" s="540">
        <f>SUMIF($E$4:$E$138,$F143,$S$4:$S$138)</f>
        <v>0</v>
      </c>
      <c r="I143" s="596"/>
      <c r="J143" s="351">
        <f>G143-H143</f>
        <v>132000</v>
      </c>
      <c r="K143" s="348">
        <f aca="true" t="shared" si="23" ref="K143:K150">SUMIF($E$4:$E$138,$F143,$O$4:$O$138)</f>
        <v>69660</v>
      </c>
      <c r="L143" s="539">
        <f aca="true" t="shared" si="24" ref="L143:L149">SUMIF($E$4:$E$138,$F143,$T$4:$T$138)</f>
        <v>0</v>
      </c>
      <c r="M143" s="542"/>
      <c r="N143" s="597">
        <f>K143-L143</f>
        <v>69660</v>
      </c>
      <c r="O143" s="596"/>
      <c r="P143" s="539">
        <f aca="true" t="shared" si="25" ref="P143:P150">J143-N143</f>
        <v>62340</v>
      </c>
      <c r="Q143" s="542"/>
    </row>
    <row r="144" spans="6:17" ht="13.5">
      <c r="F144" s="347" t="s">
        <v>125</v>
      </c>
      <c r="G144" s="348">
        <f t="shared" si="22"/>
        <v>150210</v>
      </c>
      <c r="H144" s="540">
        <f aca="true" t="shared" si="26" ref="H144:H149">SUMIF($E$4:$E$138,$F144,$S$4:$S$138)</f>
        <v>0</v>
      </c>
      <c r="I144" s="596"/>
      <c r="J144" s="351">
        <f aca="true" t="shared" si="27" ref="J144:J150">G144-H144</f>
        <v>150210</v>
      </c>
      <c r="K144" s="348">
        <f t="shared" si="23"/>
        <v>3000</v>
      </c>
      <c r="L144" s="539">
        <f t="shared" si="24"/>
        <v>0</v>
      </c>
      <c r="M144" s="542"/>
      <c r="N144" s="597">
        <f aca="true" t="shared" si="28" ref="N144:N150">K144-L144</f>
        <v>3000</v>
      </c>
      <c r="O144" s="596"/>
      <c r="P144" s="539">
        <f t="shared" si="25"/>
        <v>147210</v>
      </c>
      <c r="Q144" s="542"/>
    </row>
    <row r="145" spans="6:17" ht="13.5">
      <c r="F145" s="347" t="s">
        <v>126</v>
      </c>
      <c r="G145" s="348">
        <f t="shared" si="22"/>
        <v>0</v>
      </c>
      <c r="H145" s="540">
        <f t="shared" si="26"/>
        <v>0</v>
      </c>
      <c r="I145" s="596"/>
      <c r="J145" s="351">
        <f t="shared" si="27"/>
        <v>0</v>
      </c>
      <c r="K145" s="348">
        <f t="shared" si="23"/>
        <v>0</v>
      </c>
      <c r="L145" s="539">
        <f t="shared" si="24"/>
        <v>0</v>
      </c>
      <c r="M145" s="542"/>
      <c r="N145" s="597">
        <f t="shared" si="28"/>
        <v>0</v>
      </c>
      <c r="O145" s="596"/>
      <c r="P145" s="539">
        <f t="shared" si="25"/>
        <v>0</v>
      </c>
      <c r="Q145" s="542"/>
    </row>
    <row r="146" spans="6:17" ht="13.5">
      <c r="F146" s="347" t="s">
        <v>87</v>
      </c>
      <c r="G146" s="348">
        <f t="shared" si="22"/>
        <v>17000</v>
      </c>
      <c r="H146" s="540">
        <f t="shared" si="26"/>
        <v>0</v>
      </c>
      <c r="I146" s="596"/>
      <c r="J146" s="351">
        <f t="shared" si="27"/>
        <v>17000</v>
      </c>
      <c r="K146" s="348">
        <f t="shared" si="23"/>
        <v>0</v>
      </c>
      <c r="L146" s="539">
        <f t="shared" si="24"/>
        <v>0</v>
      </c>
      <c r="M146" s="542"/>
      <c r="N146" s="597">
        <f t="shared" si="28"/>
        <v>0</v>
      </c>
      <c r="O146" s="596"/>
      <c r="P146" s="539">
        <f t="shared" si="25"/>
        <v>17000</v>
      </c>
      <c r="Q146" s="542"/>
    </row>
    <row r="147" spans="6:17" ht="13.5">
      <c r="F147" s="347" t="s">
        <v>88</v>
      </c>
      <c r="G147" s="348">
        <f t="shared" si="22"/>
        <v>49360</v>
      </c>
      <c r="H147" s="540">
        <f t="shared" si="26"/>
        <v>0</v>
      </c>
      <c r="I147" s="596"/>
      <c r="J147" s="351">
        <f t="shared" si="27"/>
        <v>49360</v>
      </c>
      <c r="K147" s="348">
        <f t="shared" si="23"/>
        <v>0</v>
      </c>
      <c r="L147" s="539">
        <f t="shared" si="24"/>
        <v>0</v>
      </c>
      <c r="M147" s="542"/>
      <c r="N147" s="597">
        <f t="shared" si="28"/>
        <v>0</v>
      </c>
      <c r="O147" s="596"/>
      <c r="P147" s="539">
        <f t="shared" si="25"/>
        <v>49360</v>
      </c>
      <c r="Q147" s="542"/>
    </row>
    <row r="148" spans="6:17" ht="13.5">
      <c r="F148" s="347" t="s">
        <v>89</v>
      </c>
      <c r="G148" s="348">
        <f t="shared" si="22"/>
        <v>0</v>
      </c>
      <c r="H148" s="540">
        <f t="shared" si="26"/>
        <v>0</v>
      </c>
      <c r="I148" s="596"/>
      <c r="J148" s="351">
        <f t="shared" si="27"/>
        <v>0</v>
      </c>
      <c r="K148" s="348">
        <f t="shared" si="23"/>
        <v>0</v>
      </c>
      <c r="L148" s="539">
        <f t="shared" si="24"/>
        <v>0</v>
      </c>
      <c r="M148" s="542"/>
      <c r="N148" s="597">
        <f t="shared" si="28"/>
        <v>0</v>
      </c>
      <c r="O148" s="596"/>
      <c r="P148" s="539">
        <f t="shared" si="25"/>
        <v>0</v>
      </c>
      <c r="Q148" s="542"/>
    </row>
    <row r="149" spans="6:17" ht="13.5">
      <c r="F149" s="347" t="s">
        <v>90</v>
      </c>
      <c r="G149" s="348">
        <f t="shared" si="22"/>
        <v>0</v>
      </c>
      <c r="H149" s="540">
        <f t="shared" si="26"/>
        <v>0</v>
      </c>
      <c r="I149" s="596"/>
      <c r="J149" s="351">
        <f t="shared" si="27"/>
        <v>0</v>
      </c>
      <c r="K149" s="348">
        <f t="shared" si="23"/>
        <v>0</v>
      </c>
      <c r="L149" s="539">
        <f t="shared" si="24"/>
        <v>0</v>
      </c>
      <c r="M149" s="542"/>
      <c r="N149" s="597">
        <f t="shared" si="28"/>
        <v>0</v>
      </c>
      <c r="O149" s="596"/>
      <c r="P149" s="539">
        <f t="shared" si="25"/>
        <v>0</v>
      </c>
      <c r="Q149" s="542"/>
    </row>
    <row r="150" spans="6:17" ht="14.25" thickBot="1">
      <c r="F150" s="347" t="s">
        <v>138</v>
      </c>
      <c r="G150" s="348">
        <f t="shared" si="22"/>
        <v>51430</v>
      </c>
      <c r="H150" s="540">
        <f>SUMIF($E$4:$E$138,$F150,$S$4:$S$138)+'2-3'!G122</f>
        <v>11000</v>
      </c>
      <c r="I150" s="596"/>
      <c r="J150" s="351">
        <f t="shared" si="27"/>
        <v>40430</v>
      </c>
      <c r="K150" s="348">
        <f t="shared" si="23"/>
        <v>39830</v>
      </c>
      <c r="L150" s="614">
        <f>SUMIF($E$4:$E$138,$F150,$T$4:$T$138)+'2-3'!E122</f>
        <v>11000</v>
      </c>
      <c r="M150" s="615"/>
      <c r="N150" s="597">
        <f t="shared" si="28"/>
        <v>28830</v>
      </c>
      <c r="O150" s="596"/>
      <c r="P150" s="614">
        <f t="shared" si="25"/>
        <v>11600</v>
      </c>
      <c r="Q150" s="615"/>
    </row>
    <row r="151" spans="6:17" ht="15" thickBot="1" thickTop="1">
      <c r="F151" s="354" t="s">
        <v>15</v>
      </c>
      <c r="G151" s="355">
        <f>SUM(G142:G150)</f>
        <v>840000</v>
      </c>
      <c r="H151" s="536">
        <f>SUM(H142:I150)</f>
        <v>11000</v>
      </c>
      <c r="I151" s="610"/>
      <c r="J151" s="355">
        <f>SUM(J142:J150)</f>
        <v>829000</v>
      </c>
      <c r="K151" s="355">
        <f>SUM(K142:K150)</f>
        <v>300490</v>
      </c>
      <c r="L151" s="611">
        <f>SUM(L142:M150)</f>
        <v>11000</v>
      </c>
      <c r="M151" s="612"/>
      <c r="N151" s="610">
        <f>SUM(N142:O150)</f>
        <v>289490</v>
      </c>
      <c r="O151" s="613"/>
      <c r="P151" s="611">
        <f>SUM(P142:Q150)</f>
        <v>539510</v>
      </c>
      <c r="Q151" s="612"/>
    </row>
  </sheetData>
  <sheetProtection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9" operator="equal" stopIfTrue="1">
      <formula>0</formula>
    </cfRule>
  </conditionalFormatting>
  <conditionalFormatting sqref="J139">
    <cfRule type="cellIs" priority="4" dxfId="29" operator="equal" stopIfTrue="1">
      <formula>0</formula>
    </cfRule>
  </conditionalFormatting>
  <conditionalFormatting sqref="K4:O138">
    <cfRule type="cellIs" priority="8" dxfId="12" operator="notEqual" stopIfTrue="1">
      <formula>F4</formula>
    </cfRule>
  </conditionalFormatting>
  <conditionalFormatting sqref="K139:O139">
    <cfRule type="cellIs" priority="3" dxfId="12"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19" activePane="bottomRight" state="frozen"/>
      <selection pane="topLeft" activeCell="E23" sqref="E23"/>
      <selection pane="topRight" activeCell="E23" sqref="E23"/>
      <selection pane="bottomLeft" activeCell="E23" sqref="E23"/>
      <selection pane="bottomRight" activeCell="J126" sqref="J12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3" t="s">
        <v>260</v>
      </c>
      <c r="B1" s="623"/>
      <c r="C1" s="623"/>
      <c r="D1" s="623"/>
      <c r="E1" s="623"/>
      <c r="F1" s="623"/>
      <c r="G1" s="624"/>
      <c r="H1" s="624"/>
      <c r="I1" s="624"/>
    </row>
    <row r="2" spans="1:9" ht="15" customHeight="1" thickBot="1">
      <c r="A2" s="8"/>
      <c r="B2" s="7" t="s">
        <v>243</v>
      </c>
      <c r="C2" s="87"/>
      <c r="E2" s="116"/>
      <c r="F2" s="117" t="s">
        <v>112</v>
      </c>
      <c r="G2" s="209">
        <f>SUM(E5:E119)</f>
        <v>37830</v>
      </c>
      <c r="H2" s="72" t="s">
        <v>188</v>
      </c>
      <c r="I2" s="209">
        <f>SUM(H5:H119)</f>
        <v>12100</v>
      </c>
    </row>
    <row r="3" spans="1:9" ht="15" customHeight="1" thickBot="1">
      <c r="A3" s="8"/>
      <c r="B3" s="7"/>
      <c r="C3" s="87"/>
      <c r="E3" s="619" t="s">
        <v>181</v>
      </c>
      <c r="F3" s="620"/>
      <c r="G3" s="621"/>
      <c r="H3" s="619" t="s">
        <v>182</v>
      </c>
      <c r="I3" s="622"/>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c r="F25" s="200"/>
      <c r="G25" s="140">
        <f t="shared" si="1"/>
      </c>
      <c r="H25" s="212">
        <v>4500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c r="F49" s="206"/>
      <c r="G49" s="85">
        <f t="shared" si="1"/>
      </c>
      <c r="H49" s="214">
        <v>3600</v>
      </c>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c r="F101" s="196"/>
      <c r="G101" s="84">
        <f t="shared" si="3"/>
      </c>
      <c r="H101" s="210">
        <v>4000</v>
      </c>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37830</v>
      </c>
      <c r="F121" s="118" t="s">
        <v>186</v>
      </c>
      <c r="G121" s="182">
        <f>SUM(F5:F119)</f>
        <v>37830</v>
      </c>
      <c r="H121" s="121" t="s">
        <v>190</v>
      </c>
      <c r="I121" s="182">
        <f>I2</f>
        <v>12100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26830</v>
      </c>
      <c r="F123" s="120" t="s">
        <v>187</v>
      </c>
      <c r="G123" s="184">
        <f>G121-G122</f>
        <v>26830</v>
      </c>
      <c r="H123" s="44" t="s">
        <v>189</v>
      </c>
      <c r="I123" s="184">
        <f>I121-I122</f>
        <v>12100</v>
      </c>
    </row>
  </sheetData>
  <sheetProtection formatCells="0" selectLockedCells="1"/>
  <mergeCells count="3">
    <mergeCell ref="E3:G3"/>
    <mergeCell ref="H3:I3"/>
    <mergeCell ref="A1:I1"/>
  </mergeCells>
  <conditionalFormatting sqref="E5:E119">
    <cfRule type="cellIs" priority="2" dxfId="15" operator="notEqual" stopIfTrue="1">
      <formula>F5</formula>
    </cfRule>
  </conditionalFormatting>
  <conditionalFormatting sqref="G5:G119">
    <cfRule type="cellIs" priority="1" dxfId="15"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2018-06-21T02:57:45Z</cp:lastPrinted>
  <dcterms:created xsi:type="dcterms:W3CDTF">2007-02-21T01:05:33Z</dcterms:created>
  <dcterms:modified xsi:type="dcterms:W3CDTF">2018-06-27T10:08:58Z</dcterms:modified>
  <cp:category/>
  <cp:version/>
  <cp:contentType/>
  <cp:contentStatus/>
</cp:coreProperties>
</file>