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'3-2'!$A$1:$Q$69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<sst xmlns="http://schemas.openxmlformats.org/spreadsheetml/2006/main" count="989" uniqueCount="390">
  <si>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</si>
  <si>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</si>
  <si>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</si>
  <si>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</si>
  <si>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</si>
  <si>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</si>
  <si>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</si>
  <si>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</si>
  <si>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</si>
  <si>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</si>
  <si>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</si>
  <si>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</si>
  <si>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</si>
  <si>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</si>
  <si>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</si>
  <si>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</si>
  <si>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</si>
  <si>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</si>
  <si>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</si>
  <si>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</si>
  <si>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</si>
  <si>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</si>
  <si>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</si>
  <si>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</si>
  <si>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</si>
  <si>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</si>
  <si>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</si>
  <si>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</si>
  <si>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</si>
  <si>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</si>
  <si>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</si>
  <si>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</si>
  <si>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</si>
  <si>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</si>
  <si>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</si>
  <si>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</si>
  <si>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</si>
  <si>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</si>
  <si>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</si>
  <si>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</si>
  <si>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</si>
  <si>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</si>
  <si>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</si>
  <si>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</si>
  <si>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</si>
  <si>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</si>
  <si>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</si>
  <si>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</si>
  <si>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</si>
  <si>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</si>
  <si>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</si>
  <si>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</si>
  <si>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</si>
  <si>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</si>
  <si>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</si>
  <si>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</si>
  <si>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</si>
  <si>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</si>
  <si>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</si>
  <si>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</si>
  <si>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</si>
  <si>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</si>
  <si>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</si>
  <si>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</si>
  <si>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</si>
  <si>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</si>
  <si>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</si>
  <si>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</si>
  <si>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</si>
  <si>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</si>
  <si>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</si>
  <si>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</si>
  <si>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</si>
  <si>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</si>
  <si>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</si>
  <si>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</si>
  <si>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</si>
  <si>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</si>
  <si>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</si>
  <si>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</si>
  <si>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</si>
  <si>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</si>
  <si>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</si>
  <si>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</si>
  <si>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</si>
  <si>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</si>
  <si>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</si>
  <si>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</si>
  <si>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</si>
  <si>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</si>
  <si>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</si>
  <si>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</si>
  <si>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</si>
  <si>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</si>
  <si>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</si>
  <si>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</si>
  <si>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</si>
  <si>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</si>
  <si>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</si>
  <si>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</si>
  <si>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</si>
  <si>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</si>
  <si>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</si>
  <si>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</si>
  <si>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</si>
  <si>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</si>
  <si>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</si>
  <si>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</si>
  <si>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</si>
  <si>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</si>
  <si>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</si>
  <si>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</si>
  <si>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</si>
  <si>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</si>
  <si>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</si>
  <si>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</si>
  <si>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</si>
  <si>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</si>
  <si>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</si>
  <si>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</si>
  <si>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</si>
  <si>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</si>
  <si>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</si>
  <si>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</si>
  <si>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</si>
  <si>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</si>
  <si>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</si>
  <si>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</si>
  <si>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</si>
  <si>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</si>
  <si>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</si>
  <si>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</si>
  <si>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</si>
  <si>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</si>
  <si>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</si>
  <si>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</si>
  <si>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</si>
  <si>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</si>
  <si>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</si>
  <si>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</si>
  <si>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</si>
  <si>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</si>
  <si>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</si>
  <si>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</si>
  <si>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</si>
  <si>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</si>
  <si>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</si>
  <si>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</si>
  <si>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</si>
  <si>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</si>
  <si>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</si>
  <si>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</si>
  <si>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</si>
  <si>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</si>
  <si>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</si>
  <si>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</si>
  <si>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</si>
  <si>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</si>
  <si>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</si>
  <si>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</si>
  <si>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</si>
  <si>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</si>
  <si>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</si>
  <si>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</si>
  <si>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</si>
  <si>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</si>
  <si>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</si>
  <si>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</si>
  <si>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</si>
  <si>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</si>
  <si>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</si>
  <si>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</si>
  <si>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</si>
  <si>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</si>
  <si>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</si>
  <si>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</si>
  <si>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</si>
  <si>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</si>
  <si>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</si>
  <si>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</si>
  <si>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</si>
  <si>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</si>
  <si>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</si>
  <si>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</si>
  <si>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</si>
  <si>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</si>
  <si>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</si>
  <si>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</si>
  <si>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</si>
  <si>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</si>
  <si>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</si>
  <si>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</si>
  <si>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</si>
  <si>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</si>
  <si>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</si>
  <si>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</si>
  <si>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</si>
  <si>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</si>
  <si>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</si>
  <si>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</si>
  <si>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</si>
  <si>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</si>
  <si>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</si>
  <si>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</si>
  <si>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</si>
  <si>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</si>
  <si>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</si>
  <si>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</si>
  <si>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</si>
  <si>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</si>
  <si>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</si>
  <si>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</si>
  <si>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</si>
  <si>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</si>
  <si>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</si>
  <si>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</si>
  <si>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</si>
  <si>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</si>
  <si>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</si>
  <si>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</si>
  <si>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</si>
  <si>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</si>
  <si>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</si>
  <si>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</si>
  <si>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</si>
  <si>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</si>
  <si>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</si>
  <si>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</si>
  <si>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</si>
  <si>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</si>
  <si>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</si>
  <si>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</si>
  <si>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</si>
  <si>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</si>
  <si>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</si>
  <si>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</si>
  <si>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</si>
  <si>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</si>
  <si>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</si>
  <si>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</si>
  <si>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</si>
  <si>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</si>
  <si>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</si>
  <si>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</si>
  <si>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</si>
  <si>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</si>
  <si>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</si>
  <si>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</si>
  <si>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</si>
  <si>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</si>
  <si>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</si>
  <si>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</si>
  <si>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</si>
  <si>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</si>
  <si>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</si>
  <si>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</si>
  <si>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</si>
  <si>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</si>
  <si>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</si>
  <si>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</si>
  <si>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</si>
  <si>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</si>
  <si>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</si>
  <si>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</si>
  <si>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</si>
  <si>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</si>
  <si>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</si>
  <si>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</si>
  <si>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</si>
  <si>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</si>
  <si>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</si>
  <si>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（学校番号：203）</t>
  </si>
  <si>
    <t>府立茨田高等学校　</t>
  </si>
  <si>
    <t>　校長　亀元　政志　</t>
  </si>
  <si>
    <t>2-(1)-エ</t>
  </si>
  <si>
    <t>3-(2)-イ</t>
  </si>
  <si>
    <t>コミュニケーションコース授業の充実</t>
  </si>
  <si>
    <t>広報活動の充実</t>
  </si>
  <si>
    <t>「コミュニケーション総合」講師謝礼</t>
  </si>
  <si>
    <t>広報活動用モバイルタブレットＰＣ</t>
  </si>
  <si>
    <t>学校紹介ポスター制作</t>
  </si>
  <si>
    <t>学校紹介ポスター送料</t>
  </si>
  <si>
    <t>学校紹介チラシ制作</t>
  </si>
  <si>
    <t>2-(1)-エ</t>
  </si>
  <si>
    <t>落語家用座布団</t>
  </si>
  <si>
    <t>（財務会計コード番号：１０３４１）</t>
  </si>
  <si>
    <t>5月30日までに配当希望</t>
  </si>
  <si>
    <t>5月２２日までに配当希望</t>
  </si>
  <si>
    <t>　 茨田高 第 19 号　</t>
  </si>
  <si>
    <t>◎</t>
  </si>
  <si>
    <t>1-(3)-ウ</t>
  </si>
  <si>
    <t>進路実現</t>
  </si>
  <si>
    <t>3年進路講演会講師謝礼</t>
  </si>
  <si>
    <t>手話通訳謝礼</t>
  </si>
  <si>
    <t>2-(1)-ア</t>
  </si>
  <si>
    <t>教員のコミュニケーション能力向上</t>
  </si>
  <si>
    <t>教職員人権・教育相談研修講師謝礼</t>
  </si>
  <si>
    <t>府立人権夏季セミナー資料代</t>
  </si>
  <si>
    <t>2-(1)-イ</t>
  </si>
  <si>
    <t>1年思春期講座講師謝礼</t>
  </si>
  <si>
    <t>2-(1)-エ</t>
  </si>
  <si>
    <t>生徒のコミュニケーション能力向上</t>
  </si>
  <si>
    <t>2-(1)-オ</t>
  </si>
  <si>
    <t>英語によるコミュニケーションの力向上</t>
  </si>
  <si>
    <t>International Day 開催経費</t>
  </si>
  <si>
    <t>全国校長協会総会</t>
  </si>
  <si>
    <t>全国校長協会総会資料代</t>
  </si>
  <si>
    <t>全国校長協会総会参加費</t>
  </si>
  <si>
    <t>全国公立学校事務長会研究協議会並びに総会</t>
  </si>
  <si>
    <t>近畿高等学校家庭科教育研究大会　会費（振込手数料含）</t>
  </si>
  <si>
    <t>　　平成29年　5月　1日</t>
  </si>
  <si>
    <t>　茨田高 第 36号　</t>
  </si>
  <si>
    <t>学校紹介チラシ制作</t>
  </si>
  <si>
    <t>府立外教2017年度　夏期研修資料代</t>
  </si>
  <si>
    <t>第41回全国公立学校事務長会研究協議会並びに総会資料代</t>
  </si>
  <si>
    <t>第41回全国公立学校事務長会研究協議会並びに総会参加費</t>
  </si>
  <si>
    <t>　茨田高 第 97 号　</t>
  </si>
  <si>
    <t>高校進学説明会資料（学校案内）送料</t>
  </si>
  <si>
    <t>配当済み</t>
  </si>
  <si>
    <t>広報活動用モバイルタブレットPC付属品</t>
  </si>
  <si>
    <t>配当済み</t>
  </si>
  <si>
    <t>授業力向上研修講師</t>
  </si>
  <si>
    <t>ユニバーサルデザイン授業の充実</t>
  </si>
  <si>
    <t>2-(1)-ｱ</t>
  </si>
  <si>
    <t>文化祭演劇講習会講師謝礼</t>
  </si>
  <si>
    <t>2-(1)-ｴ</t>
  </si>
  <si>
    <t>2-(1)-ｷ</t>
  </si>
  <si>
    <t>部活動の活性化</t>
  </si>
  <si>
    <t>茶道部指導講師謝礼</t>
  </si>
  <si>
    <t>筝曲部指導講師謝礼</t>
  </si>
  <si>
    <t>吹奏楽部指導講師謝礼</t>
  </si>
  <si>
    <t>茨田フェスティバル関係運搬費</t>
  </si>
  <si>
    <t>部活動を通した地域連携</t>
  </si>
  <si>
    <t>茨田カップ実施経費（ボール、記念品等）</t>
  </si>
  <si>
    <t>3-(2)-ｲ</t>
  </si>
  <si>
    <t>学校説明会の充実</t>
  </si>
  <si>
    <t>学校紹介チラシ送料</t>
  </si>
  <si>
    <t>学校説明会体験入学参加生徒保険料</t>
  </si>
  <si>
    <t>学校説明会体験入学教材費</t>
  </si>
  <si>
    <t>教職員人権研修講師謝礼</t>
  </si>
  <si>
    <t>ワークショップ受講料</t>
  </si>
  <si>
    <t>全国高等学校教頭・副校長会 近畿地区連絡協議会（資料代）</t>
  </si>
  <si>
    <t>広報活動用印刷紙</t>
  </si>
  <si>
    <t>International Day（連携大学への留学生との交流） 開催経費</t>
  </si>
  <si>
    <t>広報活動用モバイルタブレットPC用バッグ</t>
  </si>
  <si>
    <t>　茨田高 第125号　</t>
  </si>
  <si>
    <t>未執行ですが8月29日実施</t>
  </si>
  <si>
    <t>未執行ですが9月12日実施</t>
  </si>
  <si>
    <t>　　平成29年　8月　23日</t>
  </si>
  <si>
    <t>1-(1)-ｲ</t>
  </si>
  <si>
    <t>1-(1)-ｲ</t>
  </si>
  <si>
    <t>ユニバーサルデザイン授業の充実</t>
  </si>
  <si>
    <t>1-(1)-ｳ</t>
  </si>
  <si>
    <t>進路実現</t>
  </si>
  <si>
    <t>2-(1)-ｱ</t>
  </si>
  <si>
    <t>2-(1)-ｱ</t>
  </si>
  <si>
    <t>教員のコミュニケーション能力向上</t>
  </si>
  <si>
    <t>2-(1)-ｲ</t>
  </si>
  <si>
    <t>2-(1)-ｲ</t>
  </si>
  <si>
    <t>生徒のコミュニケーション能力向上</t>
  </si>
  <si>
    <t>2-(1)-ｴ</t>
  </si>
  <si>
    <t>2-(1)-ｴ</t>
  </si>
  <si>
    <t>コミュニケーションコース授業の充実</t>
  </si>
  <si>
    <t>2-(1)-オ</t>
  </si>
  <si>
    <t>2-(1)-オ</t>
  </si>
  <si>
    <t>英語によるコミュニケーションの力向上</t>
  </si>
  <si>
    <t>2-(1)-ｷ</t>
  </si>
  <si>
    <t>2-(1)-ｷ</t>
  </si>
  <si>
    <t>3-(1)-ｲ</t>
  </si>
  <si>
    <t>3-(1)-ｲ</t>
  </si>
  <si>
    <t>部活動を通した地域連携</t>
  </si>
  <si>
    <t>部活動の活性化</t>
  </si>
  <si>
    <t>3-(2)-ｲ</t>
  </si>
  <si>
    <t>3-(2)-ｲ</t>
  </si>
  <si>
    <t>広報活動の充実</t>
  </si>
  <si>
    <t>授業力向上研修講師への報償費</t>
  </si>
  <si>
    <t>○</t>
  </si>
  <si>
    <t>生徒・保護者との進路面談時の手話通訳者への報償費および3年進路講演会講師謝礼</t>
  </si>
  <si>
    <t>生徒向け思春期講座・文化祭演劇講習講師への報償費</t>
  </si>
  <si>
    <t>教職員研修講師への報償費およびワークショップ受講料</t>
  </si>
  <si>
    <t>コミュニケーションコース授業（コミュニケーション総合）
担当者への報償費</t>
  </si>
  <si>
    <t>本校生徒と留学生の交流会（International Day）の開催経費</t>
  </si>
  <si>
    <t>部活動指導者への報償費</t>
  </si>
  <si>
    <t>中学校を招待した競技大会（茨田カップ）の開催経費</t>
  </si>
  <si>
    <t>広報活動用モバイルタブレットＰＣの購入および広報用ポスター・パンフレットの制作・配布</t>
  </si>
  <si>
    <t>△</t>
  </si>
  <si>
    <t>International Day（連携大学への留学生との交流）開催経費</t>
  </si>
  <si>
    <t>International Day関係物品購入に係る送料</t>
  </si>
  <si>
    <t>　 茨田高 第276号　</t>
  </si>
  <si>
    <t>　標記につきまして、平成29年度の執行状況及び実施内容を、下記のとおり報告します。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</si>
</sst>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 numFmtId="186" formatCode="&quot;Yes&quot;;&quot;Yes&quot;;&quot;No&quot;"/>
    <numFmt numFmtId="187" formatCode="&quot;True&quot;;&quot;True&quot;;&quot;False&quot;"/>
    <numFmt numFmtId="188" formatCode="&quot;On&quot;;&quot;On&quot;;&quot;Off&quot;"/>
    <numFmt numFmtId="189" formatCode="[$€-2]\ #,##0.00_);[Red]\([$€-2]\ #,##0.00\)"/>
    <numFmt numFmtId="190" formatCode="&quot;¥&quot;#,##0.0;[Red]&quot;¥&quot;\-#,##0.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4">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83" xfId="0" applyFont="1" applyFill="1" applyBorder="1" applyAlignment="1" applyProtection="1">
      <alignment horizontal="center" vertical="center" shrinkToFit="1"/>
      <protection locked="0"/>
    </xf>
    <xf numFmtId="56" fontId="7" fillId="6" borderId="81" xfId="0" applyNumberFormat="1"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center" vertical="center" shrinkToFit="1"/>
      <protection locked="0"/>
    </xf>
    <xf numFmtId="0" fontId="7" fillId="6" borderId="90" xfId="0" applyFont="1" applyFill="1" applyBorder="1" applyAlignment="1" applyProtection="1">
      <alignment vertical="center" shrinkToFit="1"/>
      <protection locked="0"/>
    </xf>
    <xf numFmtId="0" fontId="7" fillId="6" borderId="88" xfId="0" applyFont="1" applyFill="1" applyBorder="1" applyAlignment="1" applyProtection="1">
      <alignment vertical="center" shrinkToFit="1"/>
      <protection locked="0"/>
    </xf>
    <xf numFmtId="8" fontId="7" fillId="6" borderId="92" xfId="57" applyNumberFormat="1" applyFont="1" applyFill="1" applyBorder="1" applyAlignment="1" applyProtection="1">
      <alignment vertical="center" shrinkToFit="1"/>
      <protection locked="0"/>
    </xf>
    <xf numFmtId="190" fontId="7" fillId="6" borderId="88" xfId="57" applyNumberFormat="1" applyFont="1" applyFill="1" applyBorder="1" applyAlignment="1" applyProtection="1">
      <alignment horizontal="right" vertical="center" shrinkToFit="1"/>
      <protection locked="0"/>
    </xf>
    <xf numFmtId="8" fontId="7" fillId="6" borderId="92" xfId="57" applyNumberFormat="1" applyFont="1" applyFill="1" applyBorder="1" applyAlignment="1" applyProtection="1">
      <alignment horizontal="right" vertical="center" shrinkToFit="1"/>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58" fontId="6" fillId="0" borderId="0" xfId="0" applyNumberFormat="1" applyFont="1" applyAlignment="1" applyProtection="1">
      <alignment horizontal="right" vertical="center" indent="1"/>
      <protection locked="0"/>
    </xf>
    <xf numFmtId="0" fontId="6" fillId="0" borderId="0" xfId="0" applyFont="1" applyAlignment="1" applyProtection="1">
      <alignment horizontal="right" vertical="center" indent="1"/>
      <protection locked="0"/>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7"/>
      <c r="H1" s="512" t="s">
        <v>271</v>
      </c>
      <c r="I1" s="512"/>
      <c r="J1" s="512"/>
      <c r="K1" s="512"/>
    </row>
    <row r="2" spans="2:11" s="1" customFormat="1" ht="18" customHeight="1">
      <c r="B2" s="147"/>
      <c r="H2" s="512" t="s">
        <v>285</v>
      </c>
      <c r="I2" s="512"/>
      <c r="J2" s="512"/>
      <c r="K2" s="512"/>
    </row>
    <row r="3" spans="2:11" s="1" customFormat="1" ht="18" customHeight="1">
      <c r="B3" s="147"/>
      <c r="K3" s="2"/>
    </row>
    <row r="4" spans="2:11" s="1" customFormat="1" ht="18" customHeight="1">
      <c r="B4" s="147"/>
      <c r="H4" s="513" t="s">
        <v>388</v>
      </c>
      <c r="I4" s="513"/>
      <c r="J4" s="513"/>
      <c r="K4" s="513"/>
    </row>
    <row r="5" spans="2:11" s="1" customFormat="1" ht="18" customHeight="1">
      <c r="B5" s="147"/>
      <c r="H5" s="514">
        <v>43187</v>
      </c>
      <c r="I5" s="513"/>
      <c r="J5" s="513"/>
      <c r="K5" s="513"/>
    </row>
    <row r="6" spans="1:11" s="1" customFormat="1" ht="18" customHeight="1">
      <c r="A6" s="3" t="s">
        <v>2</v>
      </c>
      <c r="B6" s="147"/>
      <c r="H6" s="4"/>
      <c r="K6" s="11"/>
    </row>
    <row r="7" spans="1:11" s="1" customFormat="1" ht="18" customHeight="1">
      <c r="A7" s="4"/>
      <c r="B7" s="147"/>
      <c r="H7" s="513" t="s">
        <v>272</v>
      </c>
      <c r="I7" s="513"/>
      <c r="J7" s="513"/>
      <c r="K7" s="513"/>
    </row>
    <row r="8" spans="1:11" s="1" customFormat="1" ht="18" customHeight="1">
      <c r="A8" s="4"/>
      <c r="B8" s="147"/>
      <c r="H8" s="513" t="s">
        <v>273</v>
      </c>
      <c r="I8" s="513"/>
      <c r="J8" s="513"/>
      <c r="K8" s="513"/>
    </row>
    <row r="9" spans="1:11" s="1" customFormat="1" ht="42" customHeight="1">
      <c r="A9" s="4"/>
      <c r="B9" s="147"/>
      <c r="H9" s="2"/>
      <c r="K9" s="46"/>
    </row>
    <row r="10" spans="1:11" s="5" customFormat="1" ht="24" customHeight="1">
      <c r="A10" s="515" t="s">
        <v>262</v>
      </c>
      <c r="B10" s="515"/>
      <c r="C10" s="515"/>
      <c r="D10" s="515"/>
      <c r="E10" s="515"/>
      <c r="F10" s="515"/>
      <c r="G10" s="515"/>
      <c r="H10" s="515"/>
      <c r="I10" s="515"/>
      <c r="J10" s="515"/>
      <c r="K10" s="515"/>
    </row>
    <row r="11" spans="1:11" s="5" customFormat="1" ht="24" customHeight="1">
      <c r="A11" s="516"/>
      <c r="B11" s="516"/>
      <c r="C11" s="516"/>
      <c r="D11" s="516"/>
      <c r="E11" s="516"/>
      <c r="F11" s="516"/>
      <c r="G11" s="516"/>
      <c r="H11" s="516"/>
      <c r="I11" s="516"/>
      <c r="J11" s="516"/>
      <c r="K11" s="516"/>
    </row>
    <row r="12" spans="1:11" s="5" customFormat="1" ht="24" customHeight="1">
      <c r="A12" s="14" t="s">
        <v>389</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17" t="s">
        <v>222</v>
      </c>
      <c r="B14" s="518"/>
      <c r="C14" s="519"/>
      <c r="D14" s="520">
        <f>'1-1'!D14:F14</f>
        <v>1190000</v>
      </c>
      <c r="E14" s="521"/>
      <c r="F14" s="522"/>
      <c r="G14" s="502" t="s">
        <v>1</v>
      </c>
      <c r="H14" s="503"/>
      <c r="I14" s="504">
        <v>43187</v>
      </c>
      <c r="J14" s="505"/>
      <c r="K14" s="506"/>
    </row>
    <row r="15" spans="1:11" s="5" customFormat="1" ht="39" customHeight="1" thickBot="1">
      <c r="A15" s="19"/>
      <c r="B15" s="18" t="s">
        <v>8</v>
      </c>
      <c r="C15" s="17" t="s">
        <v>9</v>
      </c>
      <c r="D15" s="16" t="s">
        <v>124</v>
      </c>
      <c r="E15" s="16" t="s">
        <v>123</v>
      </c>
      <c r="F15" s="17" t="s">
        <v>10</v>
      </c>
      <c r="G15" s="17" t="s">
        <v>11</v>
      </c>
      <c r="H15" s="448" t="s">
        <v>248</v>
      </c>
      <c r="I15" s="16" t="s">
        <v>12</v>
      </c>
      <c r="J15" s="447" t="s">
        <v>252</v>
      </c>
      <c r="K15" s="23" t="s">
        <v>15</v>
      </c>
    </row>
    <row r="16" spans="1:11" s="5" customFormat="1" ht="58.5" customHeight="1" thickBot="1" thickTop="1">
      <c r="A16" s="22" t="s">
        <v>119</v>
      </c>
      <c r="B16" s="220">
        <f>'3-2'!K60</f>
        <v>435000</v>
      </c>
      <c r="C16" s="221">
        <f>'3-2'!K61</f>
        <v>86140</v>
      </c>
      <c r="D16" s="221">
        <f>'3-2'!K62</f>
        <v>153957</v>
      </c>
      <c r="E16" s="221">
        <f>'3-2'!K63</f>
        <v>0</v>
      </c>
      <c r="F16" s="221">
        <f>'3-2'!K64</f>
        <v>95254</v>
      </c>
      <c r="G16" s="221">
        <f>'3-2'!K65</f>
        <v>0</v>
      </c>
      <c r="H16" s="221">
        <f>'3-2'!K66</f>
        <v>0</v>
      </c>
      <c r="I16" s="221">
        <f>'3-2'!K67</f>
        <v>140292</v>
      </c>
      <c r="J16" s="222">
        <f>'3-2'!K68</f>
        <v>101430</v>
      </c>
      <c r="K16" s="223">
        <f>SUM(B16:J16)</f>
        <v>1012073</v>
      </c>
    </row>
    <row r="17" spans="6:7" ht="24" customHeight="1" thickBot="1">
      <c r="F17" s="12"/>
      <c r="G17" s="12"/>
    </row>
    <row r="18" spans="1:11" ht="24" customHeight="1" thickBot="1">
      <c r="A18" s="145" t="s">
        <v>140</v>
      </c>
      <c r="B18" s="507" t="s">
        <v>141</v>
      </c>
      <c r="C18" s="508"/>
      <c r="D18" s="507" t="s">
        <v>223</v>
      </c>
      <c r="E18" s="509"/>
      <c r="F18" s="508" t="s">
        <v>218</v>
      </c>
      <c r="G18" s="508"/>
      <c r="H18" s="508"/>
      <c r="I18" s="508"/>
      <c r="J18" s="509"/>
      <c r="K18" s="146" t="s">
        <v>139</v>
      </c>
    </row>
    <row r="19" spans="1:11" ht="48" customHeight="1">
      <c r="A19" s="150">
        <v>1</v>
      </c>
      <c r="B19" s="510" t="s">
        <v>350</v>
      </c>
      <c r="C19" s="511"/>
      <c r="D19" s="498" t="s">
        <v>351</v>
      </c>
      <c r="E19" s="499"/>
      <c r="F19" s="501" t="s">
        <v>375</v>
      </c>
      <c r="G19" s="501"/>
      <c r="H19" s="501"/>
      <c r="I19" s="501"/>
      <c r="J19" s="499"/>
      <c r="K19" s="473" t="s">
        <v>385</v>
      </c>
    </row>
    <row r="20" spans="1:11" ht="48" customHeight="1">
      <c r="A20" s="151">
        <v>2</v>
      </c>
      <c r="B20" s="493" t="s">
        <v>352</v>
      </c>
      <c r="C20" s="494"/>
      <c r="D20" s="496" t="s">
        <v>353</v>
      </c>
      <c r="E20" s="497"/>
      <c r="F20" s="500" t="s">
        <v>377</v>
      </c>
      <c r="G20" s="500"/>
      <c r="H20" s="500"/>
      <c r="I20" s="500"/>
      <c r="J20" s="497"/>
      <c r="K20" s="473" t="s">
        <v>376</v>
      </c>
    </row>
    <row r="21" spans="1:11" ht="48" customHeight="1">
      <c r="A21" s="151">
        <v>3</v>
      </c>
      <c r="B21" s="493" t="s">
        <v>355</v>
      </c>
      <c r="C21" s="494"/>
      <c r="D21" s="496" t="s">
        <v>356</v>
      </c>
      <c r="E21" s="497"/>
      <c r="F21" s="500" t="s">
        <v>379</v>
      </c>
      <c r="G21" s="500"/>
      <c r="H21" s="500"/>
      <c r="I21" s="500"/>
      <c r="J21" s="497"/>
      <c r="K21" s="473" t="s">
        <v>376</v>
      </c>
    </row>
    <row r="22" spans="1:11" ht="48" customHeight="1">
      <c r="A22" s="151">
        <v>4</v>
      </c>
      <c r="B22" s="493" t="s">
        <v>358</v>
      </c>
      <c r="C22" s="494"/>
      <c r="D22" s="496" t="s">
        <v>359</v>
      </c>
      <c r="E22" s="497"/>
      <c r="F22" s="500" t="s">
        <v>378</v>
      </c>
      <c r="G22" s="500"/>
      <c r="H22" s="500"/>
      <c r="I22" s="500"/>
      <c r="J22" s="497"/>
      <c r="K22" s="473" t="s">
        <v>376</v>
      </c>
    </row>
    <row r="23" spans="1:11" ht="48" customHeight="1">
      <c r="A23" s="151">
        <v>5</v>
      </c>
      <c r="B23" s="493" t="s">
        <v>361</v>
      </c>
      <c r="C23" s="494"/>
      <c r="D23" s="496" t="s">
        <v>362</v>
      </c>
      <c r="E23" s="497"/>
      <c r="F23" s="500" t="s">
        <v>380</v>
      </c>
      <c r="G23" s="500"/>
      <c r="H23" s="500"/>
      <c r="I23" s="500"/>
      <c r="J23" s="497"/>
      <c r="K23" s="473" t="s">
        <v>376</v>
      </c>
    </row>
    <row r="24" spans="1:11" ht="48" customHeight="1">
      <c r="A24" s="151">
        <v>6</v>
      </c>
      <c r="B24" s="493" t="s">
        <v>364</v>
      </c>
      <c r="C24" s="494"/>
      <c r="D24" s="496" t="s">
        <v>365</v>
      </c>
      <c r="E24" s="497"/>
      <c r="F24" s="500" t="s">
        <v>381</v>
      </c>
      <c r="G24" s="500"/>
      <c r="H24" s="500"/>
      <c r="I24" s="500"/>
      <c r="J24" s="497"/>
      <c r="K24" s="473" t="s">
        <v>376</v>
      </c>
    </row>
    <row r="25" spans="1:11" ht="48" customHeight="1">
      <c r="A25" s="151">
        <v>7</v>
      </c>
      <c r="B25" s="493" t="s">
        <v>367</v>
      </c>
      <c r="C25" s="495"/>
      <c r="D25" s="496" t="s">
        <v>371</v>
      </c>
      <c r="E25" s="497"/>
      <c r="F25" s="500" t="s">
        <v>382</v>
      </c>
      <c r="G25" s="500"/>
      <c r="H25" s="500"/>
      <c r="I25" s="500"/>
      <c r="J25" s="497"/>
      <c r="K25" s="473" t="s">
        <v>376</v>
      </c>
    </row>
    <row r="26" spans="1:11" ht="48" customHeight="1">
      <c r="A26" s="151">
        <v>8</v>
      </c>
      <c r="B26" s="493" t="s">
        <v>369</v>
      </c>
      <c r="C26" s="495"/>
      <c r="D26" s="496" t="s">
        <v>370</v>
      </c>
      <c r="E26" s="497"/>
      <c r="F26" s="500" t="s">
        <v>383</v>
      </c>
      <c r="G26" s="500"/>
      <c r="H26" s="500"/>
      <c r="I26" s="500"/>
      <c r="J26" s="497"/>
      <c r="K26" s="473" t="s">
        <v>376</v>
      </c>
    </row>
    <row r="27" spans="1:11" ht="48" customHeight="1">
      <c r="A27" s="151">
        <v>9</v>
      </c>
      <c r="B27" s="493" t="s">
        <v>373</v>
      </c>
      <c r="C27" s="494"/>
      <c r="D27" s="496" t="s">
        <v>374</v>
      </c>
      <c r="E27" s="497"/>
      <c r="F27" s="500" t="s">
        <v>384</v>
      </c>
      <c r="G27" s="500"/>
      <c r="H27" s="500"/>
      <c r="I27" s="500"/>
      <c r="J27" s="497"/>
      <c r="K27" s="473" t="s">
        <v>289</v>
      </c>
    </row>
    <row r="28" spans="1:11" ht="48" customHeight="1">
      <c r="A28" s="151"/>
      <c r="B28" s="493"/>
      <c r="C28" s="494"/>
      <c r="D28" s="496"/>
      <c r="E28" s="497"/>
      <c r="F28" s="500"/>
      <c r="G28" s="500"/>
      <c r="H28" s="500"/>
      <c r="I28" s="500"/>
      <c r="J28" s="497"/>
      <c r="K28" s="473"/>
    </row>
    <row r="29" spans="1:11" ht="48" customHeight="1">
      <c r="A29" s="151"/>
      <c r="B29" s="493"/>
      <c r="C29" s="494"/>
      <c r="D29" s="496"/>
      <c r="E29" s="497"/>
      <c r="F29" s="500"/>
      <c r="G29" s="500"/>
      <c r="H29" s="500"/>
      <c r="I29" s="500"/>
      <c r="J29" s="497"/>
      <c r="K29" s="473"/>
    </row>
    <row r="30" spans="1:11" ht="48" customHeight="1">
      <c r="A30" s="158"/>
      <c r="B30" s="493"/>
      <c r="C30" s="495"/>
      <c r="D30" s="496"/>
      <c r="E30" s="497"/>
      <c r="F30" s="500"/>
      <c r="G30" s="500"/>
      <c r="H30" s="500"/>
      <c r="I30" s="500"/>
      <c r="J30" s="497"/>
      <c r="K30" s="473"/>
    </row>
    <row r="31" spans="1:11" ht="48" customHeight="1">
      <c r="A31" s="158"/>
      <c r="B31" s="493"/>
      <c r="C31" s="495"/>
      <c r="D31" s="496"/>
      <c r="E31" s="497"/>
      <c r="F31" s="500"/>
      <c r="G31" s="500"/>
      <c r="H31" s="500"/>
      <c r="I31" s="500"/>
      <c r="J31" s="497"/>
      <c r="K31" s="473"/>
    </row>
    <row r="32" spans="1:11" ht="48" customHeight="1">
      <c r="A32" s="158"/>
      <c r="B32" s="493"/>
      <c r="C32" s="495"/>
      <c r="D32" s="496"/>
      <c r="E32" s="497"/>
      <c r="F32" s="500"/>
      <c r="G32" s="500"/>
      <c r="H32" s="500"/>
      <c r="I32" s="500"/>
      <c r="J32" s="497"/>
      <c r="K32" s="473"/>
    </row>
    <row r="33" spans="1:11" ht="48" customHeight="1">
      <c r="A33" s="158"/>
      <c r="B33" s="493"/>
      <c r="C33" s="495"/>
      <c r="D33" s="496"/>
      <c r="E33" s="497"/>
      <c r="F33" s="500"/>
      <c r="G33" s="500"/>
      <c r="H33" s="500"/>
      <c r="I33" s="500"/>
      <c r="J33" s="497"/>
      <c r="K33" s="473"/>
    </row>
    <row r="34" spans="1:11" ht="48" customHeight="1">
      <c r="A34" s="158"/>
      <c r="B34" s="493"/>
      <c r="C34" s="495"/>
      <c r="D34" s="496"/>
      <c r="E34" s="497"/>
      <c r="F34" s="500"/>
      <c r="G34" s="500"/>
      <c r="H34" s="500"/>
      <c r="I34" s="500"/>
      <c r="J34" s="497"/>
      <c r="K34" s="473"/>
    </row>
    <row r="35" spans="1:11" ht="48" customHeight="1" thickBot="1">
      <c r="A35" s="152"/>
      <c r="B35" s="491"/>
      <c r="C35" s="492"/>
      <c r="D35" s="523"/>
      <c r="E35" s="524"/>
      <c r="F35" s="525"/>
      <c r="G35" s="525"/>
      <c r="H35" s="525"/>
      <c r="I35" s="525"/>
      <c r="J35" s="524"/>
      <c r="K35" s="473"/>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13" activePane="bottomRight" state="frozen"/>
      <selection pane="topLeft" activeCell="E23" sqref="E23"/>
      <selection pane="topRight" activeCell="E23" sqref="E23"/>
      <selection pane="bottomLeft" activeCell="E23" sqref="E23"/>
      <selection pane="bottomRight" activeCell="G11" sqref="G1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2" t="s">
        <v>140</v>
      </c>
      <c r="B3" s="300" t="s">
        <v>141</v>
      </c>
      <c r="C3" s="59" t="s">
        <v>143</v>
      </c>
      <c r="D3" s="96" t="s">
        <v>145</v>
      </c>
      <c r="E3" s="96" t="s">
        <v>0</v>
      </c>
      <c r="F3" s="96" t="s">
        <v>196</v>
      </c>
      <c r="G3" s="96" t="s">
        <v>91</v>
      </c>
      <c r="H3" s="474" t="s">
        <v>245</v>
      </c>
      <c r="I3" s="96" t="s">
        <v>92</v>
      </c>
      <c r="J3" s="96" t="s">
        <v>93</v>
      </c>
      <c r="K3" s="228" t="s">
        <v>111</v>
      </c>
      <c r="L3" s="296" t="s">
        <v>94</v>
      </c>
      <c r="M3" s="29" t="s">
        <v>99</v>
      </c>
    </row>
    <row r="4" spans="1:13" ht="13.5" customHeight="1">
      <c r="A4" s="361"/>
      <c r="B4" s="362"/>
      <c r="C4" s="243"/>
      <c r="D4" s="244">
        <v>301</v>
      </c>
      <c r="E4" s="245" t="s">
        <v>137</v>
      </c>
      <c r="F4" s="246" t="s">
        <v>224</v>
      </c>
      <c r="G4" s="247"/>
      <c r="H4" s="248"/>
      <c r="I4" s="248"/>
      <c r="J4" s="249">
        <f>G4*H4*I4</f>
        <v>0</v>
      </c>
      <c r="K4" s="250"/>
      <c r="L4" s="251" t="s">
        <v>226</v>
      </c>
      <c r="M4" s="29">
        <f aca="true" t="shared" si="0" ref="M4:M67">IF(K4="◎",J4,"")</f>
      </c>
    </row>
    <row r="5" spans="1:13" ht="14.25">
      <c r="A5" s="252">
        <v>1</v>
      </c>
      <c r="B5" s="253" t="s">
        <v>349</v>
      </c>
      <c r="C5" s="257" t="s">
        <v>322</v>
      </c>
      <c r="D5" s="255">
        <v>302</v>
      </c>
      <c r="E5" s="256" t="s">
        <v>85</v>
      </c>
      <c r="F5" s="257" t="s">
        <v>321</v>
      </c>
      <c r="G5" s="258">
        <v>20000</v>
      </c>
      <c r="H5" s="259">
        <v>1</v>
      </c>
      <c r="I5" s="259">
        <v>4</v>
      </c>
      <c r="J5" s="260">
        <f>G5*H5*I5</f>
        <v>80000</v>
      </c>
      <c r="K5" s="261"/>
      <c r="L5" s="262"/>
      <c r="M5" s="29">
        <f t="shared" si="0"/>
      </c>
    </row>
    <row r="6" spans="1:13" ht="14.25">
      <c r="A6" s="252">
        <v>2</v>
      </c>
      <c r="B6" s="253" t="s">
        <v>352</v>
      </c>
      <c r="C6" s="257" t="s">
        <v>291</v>
      </c>
      <c r="D6" s="255">
        <v>303</v>
      </c>
      <c r="E6" s="256" t="s">
        <v>87</v>
      </c>
      <c r="F6" s="257" t="s">
        <v>293</v>
      </c>
      <c r="G6" s="258">
        <v>7000</v>
      </c>
      <c r="H6" s="259">
        <v>1</v>
      </c>
      <c r="I6" s="259">
        <v>1</v>
      </c>
      <c r="J6" s="260">
        <f aca="true" t="shared" si="1" ref="J6:J69">G6*H6*I6</f>
        <v>7000</v>
      </c>
      <c r="K6" s="261"/>
      <c r="L6" s="262"/>
      <c r="M6" s="29">
        <f t="shared" si="0"/>
      </c>
    </row>
    <row r="7" spans="1:13" ht="14.25">
      <c r="A7" s="252">
        <v>3</v>
      </c>
      <c r="B7" s="253" t="s">
        <v>354</v>
      </c>
      <c r="C7" s="257" t="s">
        <v>295</v>
      </c>
      <c r="D7" s="255">
        <v>304</v>
      </c>
      <c r="E7" s="256" t="s">
        <v>85</v>
      </c>
      <c r="F7" s="257" t="s">
        <v>339</v>
      </c>
      <c r="G7" s="258">
        <v>20000</v>
      </c>
      <c r="H7" s="259">
        <v>1</v>
      </c>
      <c r="I7" s="259">
        <v>1</v>
      </c>
      <c r="J7" s="260">
        <f t="shared" si="1"/>
        <v>20000</v>
      </c>
      <c r="K7" s="261"/>
      <c r="L7" s="262"/>
      <c r="M7" s="29">
        <f t="shared" si="0"/>
      </c>
    </row>
    <row r="8" spans="1:13" ht="14.25">
      <c r="A8" s="252">
        <v>3</v>
      </c>
      <c r="B8" s="253" t="s">
        <v>323</v>
      </c>
      <c r="C8" s="257" t="s">
        <v>295</v>
      </c>
      <c r="D8" s="255">
        <v>305</v>
      </c>
      <c r="E8" s="256" t="s">
        <v>137</v>
      </c>
      <c r="F8" s="257" t="s">
        <v>340</v>
      </c>
      <c r="G8" s="258">
        <v>20000</v>
      </c>
      <c r="H8" s="259">
        <v>2</v>
      </c>
      <c r="I8" s="259">
        <v>1</v>
      </c>
      <c r="J8" s="260">
        <f t="shared" si="1"/>
        <v>40000</v>
      </c>
      <c r="K8" s="261"/>
      <c r="L8" s="262"/>
      <c r="M8" s="29">
        <f t="shared" si="0"/>
      </c>
    </row>
    <row r="9" spans="1:13" ht="14.25">
      <c r="A9" s="252">
        <v>4</v>
      </c>
      <c r="B9" s="253" t="s">
        <v>357</v>
      </c>
      <c r="C9" s="257" t="s">
        <v>301</v>
      </c>
      <c r="D9" s="255">
        <v>306</v>
      </c>
      <c r="E9" s="256" t="s">
        <v>85</v>
      </c>
      <c r="F9" s="257" t="s">
        <v>324</v>
      </c>
      <c r="G9" s="258">
        <v>3000</v>
      </c>
      <c r="H9" s="259">
        <v>1</v>
      </c>
      <c r="I9" s="259">
        <v>8</v>
      </c>
      <c r="J9" s="260">
        <f t="shared" si="1"/>
        <v>24000</v>
      </c>
      <c r="K9" s="261"/>
      <c r="L9" s="262"/>
      <c r="M9" s="29">
        <f t="shared" si="0"/>
      </c>
    </row>
    <row r="10" spans="1:13" ht="14.25">
      <c r="A10" s="252">
        <v>5</v>
      </c>
      <c r="B10" s="253" t="s">
        <v>360</v>
      </c>
      <c r="C10" s="257" t="s">
        <v>276</v>
      </c>
      <c r="D10" s="255">
        <v>307</v>
      </c>
      <c r="E10" s="256" t="s">
        <v>85</v>
      </c>
      <c r="F10" s="257" t="s">
        <v>278</v>
      </c>
      <c r="G10" s="258">
        <v>50000</v>
      </c>
      <c r="H10" s="259">
        <v>1</v>
      </c>
      <c r="I10" s="259">
        <v>1</v>
      </c>
      <c r="J10" s="260">
        <f t="shared" si="1"/>
        <v>50000</v>
      </c>
      <c r="K10" s="261"/>
      <c r="L10" s="262"/>
      <c r="M10" s="29">
        <f t="shared" si="0"/>
      </c>
    </row>
    <row r="11" spans="1:13" ht="13.5" customHeight="1">
      <c r="A11" s="252">
        <v>5</v>
      </c>
      <c r="B11" s="253" t="s">
        <v>325</v>
      </c>
      <c r="C11" s="257" t="s">
        <v>276</v>
      </c>
      <c r="D11" s="255">
        <v>308</v>
      </c>
      <c r="E11" s="257" t="s">
        <v>85</v>
      </c>
      <c r="F11" s="257" t="s">
        <v>278</v>
      </c>
      <c r="G11" s="258">
        <v>50000</v>
      </c>
      <c r="H11" s="259">
        <v>1</v>
      </c>
      <c r="I11" s="259">
        <v>1</v>
      </c>
      <c r="J11" s="260">
        <f t="shared" si="1"/>
        <v>50000</v>
      </c>
      <c r="K11" s="268"/>
      <c r="L11" s="269"/>
      <c r="M11" s="29">
        <f t="shared" si="0"/>
      </c>
    </row>
    <row r="12" spans="1:13" ht="14.25">
      <c r="A12" s="252">
        <v>5</v>
      </c>
      <c r="B12" s="253" t="s">
        <v>325</v>
      </c>
      <c r="C12" s="257" t="s">
        <v>276</v>
      </c>
      <c r="D12" s="255">
        <v>309</v>
      </c>
      <c r="E12" s="257" t="s">
        <v>85</v>
      </c>
      <c r="F12" s="257" t="s">
        <v>278</v>
      </c>
      <c r="G12" s="266">
        <v>20000</v>
      </c>
      <c r="H12" s="267">
        <v>1</v>
      </c>
      <c r="I12" s="267">
        <v>1</v>
      </c>
      <c r="J12" s="260">
        <f t="shared" si="1"/>
        <v>20000</v>
      </c>
      <c r="K12" s="272"/>
      <c r="L12" s="273"/>
      <c r="M12" s="29">
        <f t="shared" si="0"/>
      </c>
    </row>
    <row r="13" spans="1:13" ht="14.25">
      <c r="A13" s="252">
        <v>5</v>
      </c>
      <c r="B13" s="253" t="s">
        <v>325</v>
      </c>
      <c r="C13" s="257" t="s">
        <v>276</v>
      </c>
      <c r="D13" s="255">
        <v>310</v>
      </c>
      <c r="E13" s="257" t="s">
        <v>85</v>
      </c>
      <c r="F13" s="257" t="s">
        <v>278</v>
      </c>
      <c r="G13" s="270">
        <v>16000</v>
      </c>
      <c r="H13" s="259">
        <v>1</v>
      </c>
      <c r="I13" s="259">
        <v>1</v>
      </c>
      <c r="J13" s="260">
        <f t="shared" si="1"/>
        <v>16000</v>
      </c>
      <c r="K13" s="261"/>
      <c r="L13" s="262"/>
      <c r="M13" s="29">
        <f t="shared" si="0"/>
      </c>
    </row>
    <row r="14" spans="1:13" ht="13.5" customHeight="1">
      <c r="A14" s="252">
        <v>5</v>
      </c>
      <c r="B14" s="253" t="s">
        <v>325</v>
      </c>
      <c r="C14" s="257" t="s">
        <v>276</v>
      </c>
      <c r="D14" s="255">
        <v>311</v>
      </c>
      <c r="E14" s="257" t="s">
        <v>85</v>
      </c>
      <c r="F14" s="257" t="s">
        <v>278</v>
      </c>
      <c r="G14" s="270">
        <v>20000</v>
      </c>
      <c r="H14" s="267">
        <v>1</v>
      </c>
      <c r="I14" s="267">
        <v>1</v>
      </c>
      <c r="J14" s="260">
        <f t="shared" si="1"/>
        <v>20000</v>
      </c>
      <c r="K14" s="275"/>
      <c r="L14" s="262"/>
      <c r="M14" s="29">
        <f t="shared" si="0"/>
      </c>
    </row>
    <row r="15" spans="1:13" ht="13.5">
      <c r="A15" s="252">
        <v>7</v>
      </c>
      <c r="B15" s="253" t="s">
        <v>326</v>
      </c>
      <c r="C15" s="257" t="s">
        <v>327</v>
      </c>
      <c r="D15" s="255">
        <v>312</v>
      </c>
      <c r="E15" s="257" t="s">
        <v>85</v>
      </c>
      <c r="F15" s="257" t="s">
        <v>328</v>
      </c>
      <c r="G15" s="258">
        <v>3000</v>
      </c>
      <c r="H15" s="259">
        <v>1</v>
      </c>
      <c r="I15" s="259">
        <v>4</v>
      </c>
      <c r="J15" s="260">
        <f t="shared" si="1"/>
        <v>12000</v>
      </c>
      <c r="K15" s="279"/>
      <c r="L15" s="280"/>
      <c r="M15" s="29">
        <f t="shared" si="0"/>
      </c>
    </row>
    <row r="16" spans="1:13" ht="13.5">
      <c r="A16" s="252">
        <v>7</v>
      </c>
      <c r="B16" s="253" t="s">
        <v>366</v>
      </c>
      <c r="C16" s="257" t="s">
        <v>327</v>
      </c>
      <c r="D16" s="255">
        <v>313</v>
      </c>
      <c r="E16" s="257" t="s">
        <v>85</v>
      </c>
      <c r="F16" s="257" t="s">
        <v>329</v>
      </c>
      <c r="G16" s="258">
        <v>3000</v>
      </c>
      <c r="H16" s="259">
        <v>1</v>
      </c>
      <c r="I16" s="278">
        <v>6</v>
      </c>
      <c r="J16" s="260">
        <f t="shared" si="1"/>
        <v>18000</v>
      </c>
      <c r="K16" s="261"/>
      <c r="L16" s="262"/>
      <c r="M16" s="29">
        <f t="shared" si="0"/>
      </c>
    </row>
    <row r="17" spans="1:13" ht="13.5">
      <c r="A17" s="252">
        <v>7</v>
      </c>
      <c r="B17" s="253" t="s">
        <v>326</v>
      </c>
      <c r="C17" s="257" t="s">
        <v>327</v>
      </c>
      <c r="D17" s="255">
        <v>314</v>
      </c>
      <c r="E17" s="257" t="s">
        <v>85</v>
      </c>
      <c r="F17" s="257" t="s">
        <v>330</v>
      </c>
      <c r="G17" s="258">
        <v>3000</v>
      </c>
      <c r="H17" s="259">
        <v>1</v>
      </c>
      <c r="I17" s="259">
        <v>24</v>
      </c>
      <c r="J17" s="260">
        <f t="shared" si="1"/>
        <v>72000</v>
      </c>
      <c r="K17" s="261"/>
      <c r="L17" s="262"/>
      <c r="M17" s="29">
        <f t="shared" si="0"/>
      </c>
    </row>
    <row r="18" spans="1:13" ht="13.5">
      <c r="A18" s="252">
        <v>7</v>
      </c>
      <c r="B18" s="253" t="s">
        <v>326</v>
      </c>
      <c r="C18" s="257" t="s">
        <v>327</v>
      </c>
      <c r="D18" s="255">
        <v>315</v>
      </c>
      <c r="E18" s="257" t="s">
        <v>87</v>
      </c>
      <c r="F18" s="257" t="s">
        <v>331</v>
      </c>
      <c r="G18" s="258">
        <v>35000</v>
      </c>
      <c r="H18" s="259">
        <v>1</v>
      </c>
      <c r="I18" s="259">
        <v>1</v>
      </c>
      <c r="J18" s="260">
        <f t="shared" si="1"/>
        <v>35000</v>
      </c>
      <c r="K18" s="261"/>
      <c r="L18" s="262"/>
      <c r="M18" s="29">
        <f t="shared" si="0"/>
      </c>
    </row>
    <row r="19" spans="1:13" ht="13.5">
      <c r="A19" s="252">
        <v>8</v>
      </c>
      <c r="B19" s="253" t="s">
        <v>368</v>
      </c>
      <c r="C19" s="257" t="s">
        <v>332</v>
      </c>
      <c r="D19" s="255">
        <v>316</v>
      </c>
      <c r="E19" s="257" t="s">
        <v>125</v>
      </c>
      <c r="F19" s="257" t="s">
        <v>333</v>
      </c>
      <c r="G19" s="258">
        <v>10000</v>
      </c>
      <c r="H19" s="259">
        <v>1</v>
      </c>
      <c r="I19" s="259">
        <v>3</v>
      </c>
      <c r="J19" s="260">
        <f t="shared" si="1"/>
        <v>30000</v>
      </c>
      <c r="K19" s="261"/>
      <c r="L19" s="262"/>
      <c r="M19" s="29">
        <f t="shared" si="0"/>
      </c>
    </row>
    <row r="20" spans="1:13" ht="13.5">
      <c r="A20" s="252">
        <v>9</v>
      </c>
      <c r="B20" s="253" t="s">
        <v>372</v>
      </c>
      <c r="C20" s="254" t="s">
        <v>277</v>
      </c>
      <c r="D20" s="255">
        <v>317</v>
      </c>
      <c r="E20" s="257" t="s">
        <v>87</v>
      </c>
      <c r="F20" s="257" t="s">
        <v>336</v>
      </c>
      <c r="G20" s="258">
        <v>90</v>
      </c>
      <c r="H20" s="259">
        <v>160</v>
      </c>
      <c r="I20" s="259">
        <v>1</v>
      </c>
      <c r="J20" s="260">
        <f t="shared" si="1"/>
        <v>14400</v>
      </c>
      <c r="K20" s="261"/>
      <c r="L20" s="262"/>
      <c r="M20" s="29">
        <f t="shared" si="0"/>
      </c>
    </row>
    <row r="21" spans="1:13" ht="13.5">
      <c r="A21" s="252">
        <v>9</v>
      </c>
      <c r="B21" s="253" t="s">
        <v>334</v>
      </c>
      <c r="C21" s="254" t="s">
        <v>277</v>
      </c>
      <c r="D21" s="255">
        <v>318</v>
      </c>
      <c r="E21" s="257" t="s">
        <v>87</v>
      </c>
      <c r="F21" s="257" t="s">
        <v>336</v>
      </c>
      <c r="G21" s="258">
        <v>90</v>
      </c>
      <c r="H21" s="259">
        <v>160</v>
      </c>
      <c r="I21" s="259">
        <v>1</v>
      </c>
      <c r="J21" s="260">
        <f t="shared" si="1"/>
        <v>14400</v>
      </c>
      <c r="K21" s="261"/>
      <c r="L21" s="262"/>
      <c r="M21" s="29">
        <f t="shared" si="0"/>
      </c>
    </row>
    <row r="22" spans="1:13" ht="13.5">
      <c r="A22" s="252">
        <v>9</v>
      </c>
      <c r="B22" s="253" t="s">
        <v>334</v>
      </c>
      <c r="C22" s="254" t="s">
        <v>277</v>
      </c>
      <c r="D22" s="255">
        <v>319</v>
      </c>
      <c r="E22" s="256" t="s">
        <v>125</v>
      </c>
      <c r="F22" s="257" t="s">
        <v>282</v>
      </c>
      <c r="G22" s="258">
        <v>8</v>
      </c>
      <c r="H22" s="259">
        <v>1000</v>
      </c>
      <c r="I22" s="259">
        <v>1</v>
      </c>
      <c r="J22" s="260">
        <f t="shared" si="1"/>
        <v>8000</v>
      </c>
      <c r="K22" s="261"/>
      <c r="L22" s="262"/>
      <c r="M22" s="29">
        <f t="shared" si="0"/>
      </c>
    </row>
    <row r="23" spans="1:13" ht="13.5">
      <c r="A23" s="252">
        <v>9</v>
      </c>
      <c r="B23" s="253" t="s">
        <v>334</v>
      </c>
      <c r="C23" s="254" t="s">
        <v>277</v>
      </c>
      <c r="D23" s="255">
        <v>320</v>
      </c>
      <c r="E23" s="256" t="s">
        <v>125</v>
      </c>
      <c r="F23" s="257" t="s">
        <v>282</v>
      </c>
      <c r="G23" s="258">
        <v>4</v>
      </c>
      <c r="H23" s="259">
        <v>2000</v>
      </c>
      <c r="I23" s="259">
        <v>1</v>
      </c>
      <c r="J23" s="260">
        <f t="shared" si="1"/>
        <v>8000</v>
      </c>
      <c r="K23" s="261"/>
      <c r="L23" s="262"/>
      <c r="M23" s="29">
        <f t="shared" si="0"/>
      </c>
    </row>
    <row r="24" spans="1:13" ht="13.5">
      <c r="A24" s="252">
        <v>9</v>
      </c>
      <c r="B24" s="253" t="s">
        <v>334</v>
      </c>
      <c r="C24" s="254" t="s">
        <v>277</v>
      </c>
      <c r="D24" s="255">
        <v>321</v>
      </c>
      <c r="E24" s="256" t="s">
        <v>125</v>
      </c>
      <c r="F24" s="257" t="s">
        <v>342</v>
      </c>
      <c r="G24" s="258">
        <v>1700</v>
      </c>
      <c r="H24" s="259">
        <v>4</v>
      </c>
      <c r="I24" s="259">
        <v>1</v>
      </c>
      <c r="J24" s="260">
        <f t="shared" si="1"/>
        <v>6800</v>
      </c>
      <c r="K24" s="261"/>
      <c r="L24" s="262"/>
      <c r="M24" s="29">
        <f t="shared" si="0"/>
      </c>
    </row>
    <row r="25" spans="1:13" ht="13.5">
      <c r="A25" s="252">
        <v>9</v>
      </c>
      <c r="B25" s="253" t="s">
        <v>334</v>
      </c>
      <c r="C25" s="254" t="s">
        <v>277</v>
      </c>
      <c r="D25" s="255">
        <v>322</v>
      </c>
      <c r="E25" s="256" t="s">
        <v>125</v>
      </c>
      <c r="F25" s="257" t="s">
        <v>342</v>
      </c>
      <c r="G25" s="258">
        <v>800</v>
      </c>
      <c r="H25" s="259">
        <v>2</v>
      </c>
      <c r="I25" s="259">
        <v>1</v>
      </c>
      <c r="J25" s="260">
        <f t="shared" si="1"/>
        <v>1600</v>
      </c>
      <c r="K25" s="261"/>
      <c r="L25" s="262"/>
      <c r="M25" s="29">
        <f t="shared" si="0"/>
      </c>
    </row>
    <row r="26" spans="1:13" ht="13.5">
      <c r="A26" s="252">
        <v>9</v>
      </c>
      <c r="B26" s="253" t="s">
        <v>334</v>
      </c>
      <c r="C26" s="254" t="s">
        <v>277</v>
      </c>
      <c r="D26" s="255">
        <v>323</v>
      </c>
      <c r="E26" s="257" t="s">
        <v>125</v>
      </c>
      <c r="F26" s="257" t="s">
        <v>344</v>
      </c>
      <c r="G26" s="258">
        <v>5000</v>
      </c>
      <c r="H26" s="259">
        <v>1</v>
      </c>
      <c r="I26" s="259">
        <v>1</v>
      </c>
      <c r="J26" s="260">
        <f t="shared" si="1"/>
        <v>5000</v>
      </c>
      <c r="K26" s="261"/>
      <c r="L26" s="262"/>
      <c r="M26" s="29">
        <f t="shared" si="0"/>
      </c>
    </row>
    <row r="27" spans="1:13" ht="13.5">
      <c r="A27" s="252">
        <v>9</v>
      </c>
      <c r="B27" s="253" t="s">
        <v>334</v>
      </c>
      <c r="C27" s="254" t="s">
        <v>335</v>
      </c>
      <c r="D27" s="255">
        <v>324</v>
      </c>
      <c r="E27" s="257" t="s">
        <v>87</v>
      </c>
      <c r="F27" s="257" t="s">
        <v>337</v>
      </c>
      <c r="G27" s="258">
        <v>40</v>
      </c>
      <c r="H27" s="259">
        <v>150</v>
      </c>
      <c r="I27" s="259">
        <v>1</v>
      </c>
      <c r="J27" s="260">
        <f t="shared" si="1"/>
        <v>6000</v>
      </c>
      <c r="K27" s="261"/>
      <c r="L27" s="262"/>
      <c r="M27" s="29">
        <f t="shared" si="0"/>
      </c>
    </row>
    <row r="28" spans="1:13" ht="13.5">
      <c r="A28" s="252">
        <v>9</v>
      </c>
      <c r="B28" s="253" t="s">
        <v>334</v>
      </c>
      <c r="C28" s="254" t="s">
        <v>335</v>
      </c>
      <c r="D28" s="255">
        <v>325</v>
      </c>
      <c r="E28" s="257" t="s">
        <v>125</v>
      </c>
      <c r="F28" s="257" t="s">
        <v>338</v>
      </c>
      <c r="G28" s="258">
        <v>5000</v>
      </c>
      <c r="H28" s="259">
        <v>10</v>
      </c>
      <c r="I28" s="259">
        <v>1</v>
      </c>
      <c r="J28" s="260">
        <f t="shared" si="1"/>
        <v>50000</v>
      </c>
      <c r="K28" s="261"/>
      <c r="L28" s="262"/>
      <c r="M28" s="29">
        <f t="shared" si="0"/>
      </c>
    </row>
    <row r="29" spans="1:13" ht="13.5">
      <c r="A29" s="252">
        <v>6</v>
      </c>
      <c r="B29" s="253" t="s">
        <v>363</v>
      </c>
      <c r="C29" s="257" t="s">
        <v>303</v>
      </c>
      <c r="D29" s="255">
        <v>326</v>
      </c>
      <c r="E29" s="265" t="s">
        <v>125</v>
      </c>
      <c r="F29" s="265" t="s">
        <v>343</v>
      </c>
      <c r="G29" s="266">
        <v>15000</v>
      </c>
      <c r="H29" s="267">
        <v>1</v>
      </c>
      <c r="I29" s="267">
        <v>1</v>
      </c>
      <c r="J29" s="260">
        <f t="shared" si="1"/>
        <v>15000</v>
      </c>
      <c r="K29" s="261"/>
      <c r="L29" s="262"/>
      <c r="M29" s="29">
        <f t="shared" si="0"/>
      </c>
    </row>
    <row r="30" spans="1:13" ht="13.5">
      <c r="A30" s="252"/>
      <c r="B30" s="253"/>
      <c r="C30" s="257"/>
      <c r="D30" s="255">
        <v>327</v>
      </c>
      <c r="E30" s="256" t="s">
        <v>125</v>
      </c>
      <c r="F30" s="256" t="s">
        <v>341</v>
      </c>
      <c r="G30" s="270">
        <v>3000</v>
      </c>
      <c r="H30" s="271">
        <v>1</v>
      </c>
      <c r="I30" s="271">
        <v>1</v>
      </c>
      <c r="J30" s="260">
        <f t="shared" si="1"/>
        <v>3000</v>
      </c>
      <c r="K30" s="261"/>
      <c r="L30" s="262"/>
      <c r="M30" s="29">
        <f t="shared" si="0"/>
      </c>
    </row>
    <row r="31" spans="1:13" ht="13.5">
      <c r="A31" s="252"/>
      <c r="B31" s="253"/>
      <c r="C31" s="257"/>
      <c r="D31" s="255">
        <v>328</v>
      </c>
      <c r="E31" s="257"/>
      <c r="F31" s="256"/>
      <c r="G31" s="270"/>
      <c r="H31" s="271"/>
      <c r="I31" s="271"/>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2"/>
      <c r="D54" s="255">
        <v>351</v>
      </c>
      <c r="E54" s="257"/>
      <c r="F54" s="257"/>
      <c r="G54" s="258"/>
      <c r="H54" s="259"/>
      <c r="I54" s="259"/>
      <c r="J54" s="260">
        <f t="shared" si="1"/>
        <v>0</v>
      </c>
      <c r="K54" s="261"/>
      <c r="L54" s="262"/>
      <c r="M54" s="29">
        <f t="shared" si="0"/>
      </c>
    </row>
    <row r="55" spans="1:13" ht="13.5">
      <c r="A55" s="282"/>
      <c r="B55" s="283"/>
      <c r="C55" s="482"/>
      <c r="D55" s="255">
        <v>352</v>
      </c>
      <c r="E55" s="257"/>
      <c r="F55" s="257"/>
      <c r="G55" s="258"/>
      <c r="H55" s="259"/>
      <c r="I55" s="259"/>
      <c r="J55" s="260">
        <f t="shared" si="1"/>
        <v>0</v>
      </c>
      <c r="K55" s="261"/>
      <c r="L55" s="262"/>
      <c r="M55" s="29">
        <f t="shared" si="0"/>
      </c>
    </row>
    <row r="56" spans="1:13" ht="13.5">
      <c r="A56" s="282"/>
      <c r="B56" s="283"/>
      <c r="C56" s="482"/>
      <c r="D56" s="255">
        <v>353</v>
      </c>
      <c r="E56" s="257"/>
      <c r="F56" s="257"/>
      <c r="G56" s="258"/>
      <c r="H56" s="259"/>
      <c r="I56" s="259"/>
      <c r="J56" s="260">
        <f t="shared" si="1"/>
        <v>0</v>
      </c>
      <c r="K56" s="261"/>
      <c r="L56" s="262"/>
      <c r="M56" s="29">
        <f t="shared" si="0"/>
      </c>
    </row>
    <row r="57" spans="1:13" ht="13.5">
      <c r="A57" s="282"/>
      <c r="B57" s="283"/>
      <c r="C57" s="482"/>
      <c r="D57" s="255">
        <v>354</v>
      </c>
      <c r="E57" s="257"/>
      <c r="F57" s="257"/>
      <c r="G57" s="258"/>
      <c r="H57" s="259"/>
      <c r="I57" s="259"/>
      <c r="J57" s="260">
        <f t="shared" si="1"/>
        <v>0</v>
      </c>
      <c r="K57" s="261"/>
      <c r="L57" s="262"/>
      <c r="M57" s="29">
        <f t="shared" si="0"/>
      </c>
    </row>
    <row r="58" spans="1:13" ht="13.5">
      <c r="A58" s="282"/>
      <c r="B58" s="283"/>
      <c r="C58" s="482"/>
      <c r="D58" s="255">
        <v>355</v>
      </c>
      <c r="E58" s="257"/>
      <c r="F58" s="257"/>
      <c r="G58" s="258"/>
      <c r="H58" s="259"/>
      <c r="I58" s="259"/>
      <c r="J58" s="260">
        <f t="shared" si="1"/>
        <v>0</v>
      </c>
      <c r="K58" s="261"/>
      <c r="L58" s="262"/>
      <c r="M58" s="29">
        <f t="shared" si="0"/>
      </c>
    </row>
    <row r="59" spans="1:13" ht="13.5">
      <c r="A59" s="282"/>
      <c r="B59" s="283"/>
      <c r="C59" s="482"/>
      <c r="D59" s="255">
        <v>356</v>
      </c>
      <c r="E59" s="257"/>
      <c r="F59" s="257"/>
      <c r="G59" s="258"/>
      <c r="H59" s="259"/>
      <c r="I59" s="259"/>
      <c r="J59" s="260">
        <f t="shared" si="1"/>
        <v>0</v>
      </c>
      <c r="K59" s="261"/>
      <c r="L59" s="262"/>
      <c r="M59" s="29">
        <f t="shared" si="0"/>
      </c>
    </row>
    <row r="60" spans="1:13" ht="13.5">
      <c r="A60" s="282"/>
      <c r="B60" s="283"/>
      <c r="C60" s="482"/>
      <c r="D60" s="255">
        <v>357</v>
      </c>
      <c r="E60" s="257"/>
      <c r="F60" s="257"/>
      <c r="G60" s="258"/>
      <c r="H60" s="259"/>
      <c r="I60" s="259"/>
      <c r="J60" s="260">
        <f t="shared" si="1"/>
        <v>0</v>
      </c>
      <c r="K60" s="261"/>
      <c r="L60" s="262"/>
      <c r="M60" s="29">
        <f t="shared" si="0"/>
      </c>
    </row>
    <row r="61" spans="1:13" ht="13.5">
      <c r="A61" s="282"/>
      <c r="B61" s="283"/>
      <c r="C61" s="482"/>
      <c r="D61" s="255">
        <v>358</v>
      </c>
      <c r="E61" s="257"/>
      <c r="F61" s="257"/>
      <c r="G61" s="258"/>
      <c r="H61" s="259"/>
      <c r="I61" s="259"/>
      <c r="J61" s="260">
        <f t="shared" si="1"/>
        <v>0</v>
      </c>
      <c r="K61" s="261"/>
      <c r="L61" s="262"/>
      <c r="M61" s="29">
        <f t="shared" si="0"/>
      </c>
    </row>
    <row r="62" spans="1:13" ht="13.5">
      <c r="A62" s="282"/>
      <c r="B62" s="283"/>
      <c r="C62" s="482"/>
      <c r="D62" s="255">
        <v>359</v>
      </c>
      <c r="E62" s="257"/>
      <c r="F62" s="257"/>
      <c r="G62" s="258"/>
      <c r="H62" s="259"/>
      <c r="I62" s="259"/>
      <c r="J62" s="260">
        <f t="shared" si="1"/>
        <v>0</v>
      </c>
      <c r="K62" s="261"/>
      <c r="L62" s="262"/>
      <c r="M62" s="29">
        <f t="shared" si="0"/>
      </c>
    </row>
    <row r="63" spans="1:13" ht="13.5">
      <c r="A63" s="282"/>
      <c r="B63" s="283"/>
      <c r="C63" s="482"/>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7"/>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9"/>
      <c r="F105" s="28" t="s">
        <v>15</v>
      </c>
      <c r="G105" s="28"/>
    </row>
    <row r="106" spans="4:11" ht="24" customHeight="1" thickBot="1">
      <c r="D106" s="390"/>
      <c r="F106" s="432" t="s">
        <v>96</v>
      </c>
      <c r="G106" s="230" t="s">
        <v>97</v>
      </c>
      <c r="H106" s="575" t="s">
        <v>175</v>
      </c>
      <c r="I106" s="575"/>
      <c r="J106" s="575" t="s">
        <v>98</v>
      </c>
      <c r="K106" s="580"/>
    </row>
    <row r="107" spans="4:11" ht="14.25" thickTop="1">
      <c r="D107" s="231"/>
      <c r="F107" s="297" t="s">
        <v>85</v>
      </c>
      <c r="G107" s="359">
        <f>SUMIF($E$4:$E$103,F107,$J$4:$J$103)</f>
        <v>382000</v>
      </c>
      <c r="H107" s="536">
        <f>SUMIF($E$4:$E$103,F107,$M$4:$M$103)</f>
        <v>0</v>
      </c>
      <c r="I107" s="536"/>
      <c r="J107" s="536">
        <f aca="true" t="shared" si="4" ref="J107:J115">G107-H107</f>
        <v>382000</v>
      </c>
      <c r="K107" s="619"/>
    </row>
    <row r="108" spans="4:11" ht="13.5">
      <c r="D108" s="231"/>
      <c r="F108" s="298" t="s">
        <v>86</v>
      </c>
      <c r="G108" s="358">
        <f aca="true" t="shared" si="5" ref="G108:G115">SUMIF($E$4:$E$103,F108,$J$4:$J$103)</f>
        <v>0</v>
      </c>
      <c r="H108" s="544">
        <f aca="true" t="shared" si="6" ref="H108:H114">SUMIF($E$4:$E$103,F108,$M$4:$M$103)</f>
        <v>0</v>
      </c>
      <c r="I108" s="544"/>
      <c r="J108" s="544">
        <f t="shared" si="4"/>
        <v>0</v>
      </c>
      <c r="K108" s="547"/>
    </row>
    <row r="109" spans="4:11" ht="13.5">
      <c r="D109" s="231"/>
      <c r="F109" s="298" t="s">
        <v>125</v>
      </c>
      <c r="G109" s="358">
        <f t="shared" si="5"/>
        <v>127400</v>
      </c>
      <c r="H109" s="544">
        <f t="shared" si="6"/>
        <v>0</v>
      </c>
      <c r="I109" s="544"/>
      <c r="J109" s="544">
        <f t="shared" si="4"/>
        <v>127400</v>
      </c>
      <c r="K109" s="547"/>
    </row>
    <row r="110" spans="4:11" ht="13.5">
      <c r="D110" s="231"/>
      <c r="F110" s="298" t="s">
        <v>126</v>
      </c>
      <c r="G110" s="358">
        <f t="shared" si="5"/>
        <v>0</v>
      </c>
      <c r="H110" s="544">
        <f t="shared" si="6"/>
        <v>0</v>
      </c>
      <c r="I110" s="544"/>
      <c r="J110" s="544">
        <f t="shared" si="4"/>
        <v>0</v>
      </c>
      <c r="K110" s="547"/>
    </row>
    <row r="111" spans="4:11" ht="13.5">
      <c r="D111" s="231"/>
      <c r="F111" s="298" t="s">
        <v>87</v>
      </c>
      <c r="G111" s="358">
        <f t="shared" si="5"/>
        <v>76800</v>
      </c>
      <c r="H111" s="544">
        <f t="shared" si="6"/>
        <v>0</v>
      </c>
      <c r="I111" s="544"/>
      <c r="J111" s="544">
        <f t="shared" si="4"/>
        <v>76800</v>
      </c>
      <c r="K111" s="547"/>
    </row>
    <row r="112" spans="4:11" ht="13.5">
      <c r="D112" s="231"/>
      <c r="F112" s="298" t="s">
        <v>88</v>
      </c>
      <c r="G112" s="358">
        <f t="shared" si="5"/>
        <v>0</v>
      </c>
      <c r="H112" s="544">
        <f t="shared" si="6"/>
        <v>0</v>
      </c>
      <c r="I112" s="544"/>
      <c r="J112" s="544">
        <f t="shared" si="4"/>
        <v>0</v>
      </c>
      <c r="K112" s="547"/>
    </row>
    <row r="113" spans="4:11" ht="13.5">
      <c r="D113" s="231"/>
      <c r="F113" s="298" t="s">
        <v>89</v>
      </c>
      <c r="G113" s="358">
        <f t="shared" si="5"/>
        <v>0</v>
      </c>
      <c r="H113" s="544">
        <f t="shared" si="6"/>
        <v>0</v>
      </c>
      <c r="I113" s="544"/>
      <c r="J113" s="544">
        <f t="shared" si="4"/>
        <v>0</v>
      </c>
      <c r="K113" s="547"/>
    </row>
    <row r="114" spans="4:11" ht="13.5">
      <c r="D114" s="231"/>
      <c r="F114" s="298" t="s">
        <v>90</v>
      </c>
      <c r="G114" s="358">
        <f t="shared" si="5"/>
        <v>0</v>
      </c>
      <c r="H114" s="544">
        <f t="shared" si="6"/>
        <v>0</v>
      </c>
      <c r="I114" s="544"/>
      <c r="J114" s="544">
        <f t="shared" si="4"/>
        <v>0</v>
      </c>
      <c r="K114" s="547"/>
    </row>
    <row r="115" spans="4:11" ht="14.25" thickBot="1">
      <c r="D115" s="231"/>
      <c r="F115" s="297" t="s">
        <v>137</v>
      </c>
      <c r="G115" s="358">
        <f t="shared" si="5"/>
        <v>40000</v>
      </c>
      <c r="H115" s="590">
        <f>SUMIF($E$4:$E$103,F115,$M$4:$M$103)+'2-3'!I122</f>
        <v>0</v>
      </c>
      <c r="I115" s="590"/>
      <c r="J115" s="590">
        <f t="shared" si="4"/>
        <v>40000</v>
      </c>
      <c r="K115" s="591"/>
    </row>
    <row r="116" spans="4:11" ht="15" thickBot="1" thickTop="1">
      <c r="D116" s="390"/>
      <c r="F116" s="299" t="s">
        <v>15</v>
      </c>
      <c r="G116" s="360">
        <f>SUM(G107:G115)</f>
        <v>626200</v>
      </c>
      <c r="H116" s="592">
        <f>SUM(H107:I115)</f>
        <v>0</v>
      </c>
      <c r="I116" s="592"/>
      <c r="J116" s="592">
        <f>SUM(J107:K115)</f>
        <v>626200</v>
      </c>
      <c r="K116" s="593"/>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6">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12" t="s">
        <v>271</v>
      </c>
      <c r="I1" s="512"/>
      <c r="J1" s="512"/>
      <c r="K1" s="512"/>
    </row>
    <row r="2" spans="8:11" s="1" customFormat="1" ht="18" customHeight="1">
      <c r="H2" s="512" t="s">
        <v>285</v>
      </c>
      <c r="I2" s="512"/>
      <c r="J2" s="512"/>
      <c r="K2" s="512"/>
    </row>
    <row r="3" s="1" customFormat="1" ht="18" customHeight="1">
      <c r="K3" s="2"/>
    </row>
    <row r="4" spans="8:11" s="1" customFormat="1" ht="18" customHeight="1">
      <c r="H4" s="513" t="s">
        <v>288</v>
      </c>
      <c r="I4" s="513"/>
      <c r="J4" s="513"/>
      <c r="K4" s="513"/>
    </row>
    <row r="5" spans="8:11" s="1" customFormat="1" ht="18" customHeight="1">
      <c r="H5" s="563">
        <v>42842</v>
      </c>
      <c r="I5" s="564"/>
      <c r="J5" s="564"/>
      <c r="K5" s="564"/>
    </row>
    <row r="6" spans="1:11" s="1" customFormat="1" ht="18" customHeight="1">
      <c r="A6" s="3" t="s">
        <v>2</v>
      </c>
      <c r="H6" s="4"/>
      <c r="K6" s="11"/>
    </row>
    <row r="7" spans="1:11" s="1" customFormat="1" ht="18" customHeight="1">
      <c r="A7" s="4"/>
      <c r="H7" s="513" t="s">
        <v>272</v>
      </c>
      <c r="I7" s="513"/>
      <c r="J7" s="513"/>
      <c r="K7" s="513"/>
    </row>
    <row r="8" spans="1:11" s="1" customFormat="1" ht="18" customHeight="1">
      <c r="A8" s="4"/>
      <c r="H8" s="513" t="s">
        <v>273</v>
      </c>
      <c r="I8" s="513"/>
      <c r="J8" s="513"/>
      <c r="K8" s="513"/>
    </row>
    <row r="9" spans="1:11" s="1" customFormat="1" ht="42" customHeight="1">
      <c r="A9" s="4"/>
      <c r="H9" s="2"/>
      <c r="K9" s="46"/>
    </row>
    <row r="10" spans="1:11" ht="24" customHeight="1">
      <c r="A10" s="515" t="s">
        <v>265</v>
      </c>
      <c r="B10" s="515"/>
      <c r="C10" s="515"/>
      <c r="D10" s="515"/>
      <c r="E10" s="515"/>
      <c r="F10" s="515"/>
      <c r="G10" s="515"/>
      <c r="H10" s="515"/>
      <c r="I10" s="515"/>
      <c r="J10" s="515"/>
      <c r="K10" s="515"/>
    </row>
    <row r="11" spans="1:11" ht="24" customHeight="1">
      <c r="A11" s="516"/>
      <c r="B11" s="516"/>
      <c r="C11" s="516"/>
      <c r="D11" s="516"/>
      <c r="E11" s="516"/>
      <c r="F11" s="516"/>
      <c r="G11" s="516"/>
      <c r="H11" s="516"/>
      <c r="I11" s="516"/>
      <c r="J11" s="516"/>
      <c r="K11" s="516"/>
    </row>
    <row r="12" spans="1:11" ht="24" customHeight="1">
      <c r="A12" s="14" t="s">
        <v>5</v>
      </c>
      <c r="B12" s="14"/>
      <c r="C12" s="14"/>
      <c r="D12" s="14"/>
      <c r="E12" s="14"/>
      <c r="F12" s="14"/>
      <c r="G12" s="14"/>
      <c r="H12" s="6"/>
      <c r="I12" s="6"/>
      <c r="J12" s="6"/>
      <c r="K12" s="6"/>
    </row>
    <row r="13" spans="1:11" s="24" customFormat="1" ht="24" customHeight="1" thickBot="1">
      <c r="A13" s="620"/>
      <c r="B13" s="589"/>
      <c r="C13" s="589"/>
      <c r="D13" s="589"/>
      <c r="E13" s="589"/>
      <c r="F13" s="589"/>
      <c r="G13" s="589"/>
      <c r="H13" s="589"/>
      <c r="I13" s="589"/>
      <c r="J13" s="589"/>
      <c r="K13" s="589"/>
    </row>
    <row r="14" spans="1:11" ht="39" customHeight="1" thickBot="1">
      <c r="A14" s="19"/>
      <c r="B14" s="18" t="s">
        <v>8</v>
      </c>
      <c r="C14" s="17" t="s">
        <v>9</v>
      </c>
      <c r="D14" s="16" t="s">
        <v>124</v>
      </c>
      <c r="E14" s="16" t="s">
        <v>123</v>
      </c>
      <c r="F14" s="17" t="s">
        <v>10</v>
      </c>
      <c r="G14" s="17" t="s">
        <v>11</v>
      </c>
      <c r="H14" s="448" t="s">
        <v>248</v>
      </c>
      <c r="I14" s="16" t="s">
        <v>12</v>
      </c>
      <c r="J14" s="447" t="s">
        <v>252</v>
      </c>
      <c r="K14" s="23" t="s">
        <v>15</v>
      </c>
    </row>
    <row r="15" spans="1:11" ht="58.5" customHeight="1" thickTop="1">
      <c r="A15" s="30" t="s">
        <v>100</v>
      </c>
      <c r="B15" s="454">
        <f>'随時①-2'!G27</f>
        <v>50000</v>
      </c>
      <c r="C15" s="455">
        <f>'随時①-2'!G28</f>
        <v>0</v>
      </c>
      <c r="D15" s="455">
        <f>'随時①-2'!G29</f>
        <v>47000</v>
      </c>
      <c r="E15" s="455">
        <f>'随時①-2'!G30</f>
        <v>0</v>
      </c>
      <c r="F15" s="455">
        <f>'随時①-2'!G31</f>
        <v>16000</v>
      </c>
      <c r="G15" s="455">
        <f>'随時①-2'!G32</f>
        <v>0</v>
      </c>
      <c r="H15" s="455">
        <f>'随時①-2'!G33</f>
        <v>0</v>
      </c>
      <c r="I15" s="455">
        <f>'随時①-2'!G34</f>
        <v>150000</v>
      </c>
      <c r="J15" s="456">
        <f>'随時①-2'!G35</f>
        <v>0</v>
      </c>
      <c r="K15" s="457">
        <f>SUM(B15:J15)</f>
        <v>263000</v>
      </c>
    </row>
    <row r="16" spans="1:11" ht="58.5" customHeight="1">
      <c r="A16" s="21" t="s">
        <v>177</v>
      </c>
      <c r="B16" s="458">
        <f>'随時①-2'!H27</f>
        <v>0</v>
      </c>
      <c r="C16" s="385">
        <f>'随時①-2'!H28</f>
        <v>0</v>
      </c>
      <c r="D16" s="385">
        <f>'随時①-2'!H29</f>
        <v>0</v>
      </c>
      <c r="E16" s="385">
        <f>'随時①-2'!H30</f>
        <v>0</v>
      </c>
      <c r="F16" s="385">
        <f>'随時①-2'!H31</f>
        <v>0</v>
      </c>
      <c r="G16" s="385">
        <f>'随時①-2'!H32</f>
        <v>0</v>
      </c>
      <c r="H16" s="385">
        <f>'随時①-2'!H33</f>
        <v>0</v>
      </c>
      <c r="I16" s="385">
        <f>'随時①-2'!H34</f>
        <v>0</v>
      </c>
      <c r="J16" s="459">
        <f>'随時①-2'!H35</f>
        <v>0</v>
      </c>
      <c r="K16" s="460">
        <f>SUM(B16:J16)</f>
        <v>0</v>
      </c>
    </row>
    <row r="17" spans="1:11" ht="58.5" customHeight="1" thickBot="1">
      <c r="A17" s="21" t="s">
        <v>101</v>
      </c>
      <c r="B17" s="461">
        <f>B15-B16</f>
        <v>50000</v>
      </c>
      <c r="C17" s="462">
        <f>C15-C16</f>
        <v>0</v>
      </c>
      <c r="D17" s="462">
        <f aca="true" t="shared" si="0" ref="D17:J17">D15-D16</f>
        <v>47000</v>
      </c>
      <c r="E17" s="462">
        <f t="shared" si="0"/>
        <v>0</v>
      </c>
      <c r="F17" s="462">
        <f t="shared" si="0"/>
        <v>16000</v>
      </c>
      <c r="G17" s="462">
        <f t="shared" si="0"/>
        <v>0</v>
      </c>
      <c r="H17" s="462">
        <f t="shared" si="0"/>
        <v>0</v>
      </c>
      <c r="I17" s="462">
        <f t="shared" si="0"/>
        <v>150000</v>
      </c>
      <c r="J17" s="462">
        <f t="shared" si="0"/>
        <v>0</v>
      </c>
      <c r="K17" s="463">
        <f>K15-K16</f>
        <v>263000</v>
      </c>
    </row>
    <row r="18" spans="1:11" ht="39" customHeight="1" thickBot="1">
      <c r="A18" s="32" t="s">
        <v>104</v>
      </c>
      <c r="B18" s="621">
        <v>42839</v>
      </c>
      <c r="C18" s="622"/>
      <c r="D18" s="622"/>
      <c r="E18" s="622"/>
      <c r="F18" s="622"/>
      <c r="G18" s="622"/>
      <c r="H18" s="622"/>
      <c r="I18" s="622"/>
      <c r="J18" s="622"/>
      <c r="K18" s="623"/>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F6" sqref="F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140</v>
      </c>
      <c r="B3" s="300" t="s">
        <v>141</v>
      </c>
      <c r="C3" s="59" t="s">
        <v>143</v>
      </c>
      <c r="D3" s="391" t="s">
        <v>146</v>
      </c>
      <c r="E3" s="96" t="s">
        <v>0</v>
      </c>
      <c r="F3" s="96" t="s">
        <v>196</v>
      </c>
      <c r="G3" s="96" t="s">
        <v>91</v>
      </c>
      <c r="H3" s="474" t="s">
        <v>245</v>
      </c>
      <c r="I3" s="96" t="s">
        <v>92</v>
      </c>
      <c r="J3" s="96" t="s">
        <v>93</v>
      </c>
      <c r="K3" s="228" t="s">
        <v>111</v>
      </c>
      <c r="L3" s="296" t="s">
        <v>107</v>
      </c>
      <c r="M3" s="29" t="s">
        <v>99</v>
      </c>
    </row>
    <row r="4" spans="1:13" ht="13.5" customHeight="1">
      <c r="A4" s="361">
        <v>5</v>
      </c>
      <c r="B4" s="483" t="s">
        <v>274</v>
      </c>
      <c r="C4" s="486" t="s">
        <v>276</v>
      </c>
      <c r="D4" s="244">
        <v>101</v>
      </c>
      <c r="E4" s="245" t="s">
        <v>85</v>
      </c>
      <c r="F4" s="246" t="s">
        <v>278</v>
      </c>
      <c r="G4" s="247">
        <v>50000</v>
      </c>
      <c r="H4" s="248">
        <v>1</v>
      </c>
      <c r="I4" s="248">
        <v>1</v>
      </c>
      <c r="J4" s="249">
        <f>G4*H4*I4</f>
        <v>50000</v>
      </c>
      <c r="K4" s="250"/>
      <c r="L4" s="251" t="s">
        <v>286</v>
      </c>
      <c r="M4" s="29">
        <f aca="true" t="shared" si="0" ref="M4:M23">IF(K4="◎",J4,"")</f>
      </c>
    </row>
    <row r="5" spans="1:13" ht="13.5" customHeight="1">
      <c r="A5" s="252">
        <v>5</v>
      </c>
      <c r="B5" s="484" t="s">
        <v>283</v>
      </c>
      <c r="C5" s="487" t="s">
        <v>276</v>
      </c>
      <c r="D5" s="255">
        <v>102</v>
      </c>
      <c r="E5" s="256" t="s">
        <v>125</v>
      </c>
      <c r="F5" s="257" t="s">
        <v>284</v>
      </c>
      <c r="G5" s="258">
        <v>7000</v>
      </c>
      <c r="H5" s="259">
        <v>1</v>
      </c>
      <c r="I5" s="259">
        <v>1</v>
      </c>
      <c r="J5" s="260">
        <f>G5*H5*I5</f>
        <v>7000</v>
      </c>
      <c r="K5" s="261"/>
      <c r="L5" s="262" t="s">
        <v>286</v>
      </c>
      <c r="M5" s="29">
        <f t="shared" si="0"/>
      </c>
    </row>
    <row r="6" spans="1:13" ht="13.5" customHeight="1">
      <c r="A6" s="252">
        <v>9</v>
      </c>
      <c r="B6" s="485" t="s">
        <v>275</v>
      </c>
      <c r="C6" s="392" t="s">
        <v>277</v>
      </c>
      <c r="D6" s="255">
        <v>103</v>
      </c>
      <c r="E6" s="256" t="s">
        <v>90</v>
      </c>
      <c r="F6" s="257" t="s">
        <v>279</v>
      </c>
      <c r="G6" s="258">
        <v>150000</v>
      </c>
      <c r="H6" s="259">
        <v>1</v>
      </c>
      <c r="I6" s="259">
        <v>1</v>
      </c>
      <c r="J6" s="260">
        <f aca="true" t="shared" si="1" ref="J6:J23">G6*H6*I6</f>
        <v>150000</v>
      </c>
      <c r="K6" s="261"/>
      <c r="L6" s="262" t="s">
        <v>287</v>
      </c>
      <c r="M6" s="29">
        <f t="shared" si="0"/>
      </c>
    </row>
    <row r="7" spans="1:13" ht="13.5" customHeight="1">
      <c r="A7" s="252">
        <v>9</v>
      </c>
      <c r="B7" s="485" t="s">
        <v>275</v>
      </c>
      <c r="C7" s="392" t="s">
        <v>277</v>
      </c>
      <c r="D7" s="255">
        <v>104</v>
      </c>
      <c r="E7" s="256" t="s">
        <v>125</v>
      </c>
      <c r="F7" s="257" t="s">
        <v>280</v>
      </c>
      <c r="G7" s="258">
        <v>80</v>
      </c>
      <c r="H7" s="259">
        <v>300</v>
      </c>
      <c r="I7" s="259">
        <v>1</v>
      </c>
      <c r="J7" s="260">
        <f t="shared" si="1"/>
        <v>24000</v>
      </c>
      <c r="K7" s="261"/>
      <c r="L7" s="262" t="s">
        <v>287</v>
      </c>
      <c r="M7" s="29">
        <f t="shared" si="0"/>
      </c>
    </row>
    <row r="8" spans="1:13" ht="13.5" customHeight="1">
      <c r="A8" s="252">
        <v>9</v>
      </c>
      <c r="B8" s="485" t="s">
        <v>275</v>
      </c>
      <c r="C8" s="392" t="s">
        <v>277</v>
      </c>
      <c r="D8" s="255">
        <v>105</v>
      </c>
      <c r="E8" s="256" t="s">
        <v>87</v>
      </c>
      <c r="F8" s="257" t="s">
        <v>281</v>
      </c>
      <c r="G8" s="258">
        <v>100</v>
      </c>
      <c r="H8" s="259">
        <v>160</v>
      </c>
      <c r="I8" s="259">
        <v>1</v>
      </c>
      <c r="J8" s="260">
        <f t="shared" si="1"/>
        <v>16000</v>
      </c>
      <c r="K8" s="261"/>
      <c r="L8" s="262" t="s">
        <v>287</v>
      </c>
      <c r="M8" s="29">
        <f t="shared" si="0"/>
      </c>
    </row>
    <row r="9" spans="1:13" ht="13.5" customHeight="1">
      <c r="A9" s="252">
        <v>9</v>
      </c>
      <c r="B9" s="485" t="s">
        <v>275</v>
      </c>
      <c r="C9" s="392" t="s">
        <v>277</v>
      </c>
      <c r="D9" s="255">
        <v>106</v>
      </c>
      <c r="E9" s="256" t="s">
        <v>125</v>
      </c>
      <c r="F9" s="257" t="s">
        <v>282</v>
      </c>
      <c r="G9" s="258">
        <v>8</v>
      </c>
      <c r="H9" s="259">
        <v>2000</v>
      </c>
      <c r="I9" s="259">
        <v>1</v>
      </c>
      <c r="J9" s="260">
        <f t="shared" si="1"/>
        <v>16000</v>
      </c>
      <c r="K9" s="261"/>
      <c r="L9" s="262" t="s">
        <v>287</v>
      </c>
      <c r="M9" s="29">
        <f t="shared" si="0"/>
      </c>
    </row>
    <row r="10" spans="1:13" ht="13.5" customHeight="1">
      <c r="A10" s="252"/>
      <c r="B10" s="485"/>
      <c r="C10" s="392"/>
      <c r="D10" s="255">
        <v>107</v>
      </c>
      <c r="E10" s="257"/>
      <c r="F10" s="257"/>
      <c r="G10" s="258"/>
      <c r="H10" s="259"/>
      <c r="I10" s="259"/>
      <c r="J10" s="260">
        <f t="shared" si="1"/>
        <v>0</v>
      </c>
      <c r="K10" s="261"/>
      <c r="L10" s="262"/>
      <c r="M10" s="29">
        <f t="shared" si="0"/>
      </c>
    </row>
    <row r="11" spans="1:13" ht="13.5" customHeight="1">
      <c r="A11" s="252"/>
      <c r="B11" s="393"/>
      <c r="C11" s="394"/>
      <c r="D11" s="255">
        <v>108</v>
      </c>
      <c r="E11" s="257"/>
      <c r="F11" s="265"/>
      <c r="G11" s="258"/>
      <c r="H11" s="259"/>
      <c r="I11" s="259"/>
      <c r="J11" s="260">
        <f t="shared" si="1"/>
        <v>0</v>
      </c>
      <c r="K11" s="268"/>
      <c r="L11" s="269"/>
      <c r="M11" s="29">
        <f t="shared" si="0"/>
      </c>
    </row>
    <row r="12" spans="1:13" ht="13.5" customHeight="1">
      <c r="A12" s="252"/>
      <c r="B12" s="393"/>
      <c r="C12" s="392"/>
      <c r="D12" s="255">
        <v>109</v>
      </c>
      <c r="E12" s="257"/>
      <c r="F12" s="256"/>
      <c r="G12" s="258"/>
      <c r="H12" s="259"/>
      <c r="I12" s="259"/>
      <c r="J12" s="260">
        <f t="shared" si="1"/>
        <v>0</v>
      </c>
      <c r="K12" s="272"/>
      <c r="L12" s="273"/>
      <c r="M12" s="29">
        <f t="shared" si="0"/>
      </c>
    </row>
    <row r="13" spans="1:13" ht="13.5" customHeight="1">
      <c r="A13" s="252"/>
      <c r="B13" s="393"/>
      <c r="C13" s="392"/>
      <c r="D13" s="255">
        <v>110</v>
      </c>
      <c r="E13" s="257"/>
      <c r="F13" s="256"/>
      <c r="G13" s="258"/>
      <c r="H13" s="259"/>
      <c r="I13" s="259"/>
      <c r="J13" s="260">
        <f t="shared" si="1"/>
        <v>0</v>
      </c>
      <c r="K13" s="261"/>
      <c r="L13" s="262"/>
      <c r="M13" s="29">
        <f t="shared" si="0"/>
      </c>
    </row>
    <row r="14" spans="1:13" ht="13.5" customHeight="1">
      <c r="A14" s="252"/>
      <c r="B14" s="393"/>
      <c r="C14" s="392"/>
      <c r="D14" s="255">
        <v>111</v>
      </c>
      <c r="E14" s="256"/>
      <c r="F14" s="257"/>
      <c r="G14" s="258"/>
      <c r="H14" s="259"/>
      <c r="I14" s="259"/>
      <c r="J14" s="260">
        <f t="shared" si="1"/>
        <v>0</v>
      </c>
      <c r="K14" s="261"/>
      <c r="L14" s="262"/>
      <c r="M14" s="29">
        <f t="shared" si="0"/>
      </c>
    </row>
    <row r="15" spans="1:13" ht="13.5" customHeight="1">
      <c r="A15" s="252"/>
      <c r="B15" s="393"/>
      <c r="C15" s="392"/>
      <c r="D15" s="255">
        <v>112</v>
      </c>
      <c r="E15" s="256"/>
      <c r="F15" s="257"/>
      <c r="G15" s="258"/>
      <c r="H15" s="259"/>
      <c r="I15" s="259"/>
      <c r="J15" s="260">
        <f t="shared" si="1"/>
        <v>0</v>
      </c>
      <c r="K15" s="261"/>
      <c r="L15" s="262"/>
      <c r="M15" s="29">
        <f t="shared" si="0"/>
      </c>
    </row>
    <row r="16" spans="1:13" ht="13.5" customHeight="1">
      <c r="A16" s="252"/>
      <c r="B16" s="393"/>
      <c r="C16" s="392"/>
      <c r="D16" s="255">
        <v>113</v>
      </c>
      <c r="E16" s="256"/>
      <c r="F16" s="257"/>
      <c r="G16" s="258"/>
      <c r="H16" s="259"/>
      <c r="I16" s="259"/>
      <c r="J16" s="260">
        <f t="shared" si="1"/>
        <v>0</v>
      </c>
      <c r="K16" s="261"/>
      <c r="L16" s="262"/>
      <c r="M16" s="29">
        <f t="shared" si="0"/>
      </c>
    </row>
    <row r="17" spans="1:13" ht="13.5" customHeight="1">
      <c r="A17" s="252"/>
      <c r="B17" s="393"/>
      <c r="C17" s="392"/>
      <c r="D17" s="255">
        <v>114</v>
      </c>
      <c r="E17" s="256"/>
      <c r="F17" s="257"/>
      <c r="G17" s="258"/>
      <c r="H17" s="259"/>
      <c r="I17" s="259"/>
      <c r="J17" s="260">
        <f t="shared" si="1"/>
        <v>0</v>
      </c>
      <c r="K17" s="261"/>
      <c r="L17" s="262"/>
      <c r="M17" s="29">
        <f t="shared" si="0"/>
      </c>
    </row>
    <row r="18" spans="1:13" ht="13.5" customHeight="1">
      <c r="A18" s="252"/>
      <c r="B18" s="393"/>
      <c r="C18" s="392"/>
      <c r="D18" s="255">
        <v>115</v>
      </c>
      <c r="E18" s="256"/>
      <c r="F18" s="257"/>
      <c r="G18" s="258"/>
      <c r="H18" s="259"/>
      <c r="I18" s="259"/>
      <c r="J18" s="260">
        <f t="shared" si="1"/>
        <v>0</v>
      </c>
      <c r="K18" s="261"/>
      <c r="L18" s="262"/>
      <c r="M18" s="29">
        <f t="shared" si="0"/>
      </c>
    </row>
    <row r="19" spans="1:13" ht="13.5" customHeight="1">
      <c r="A19" s="252"/>
      <c r="B19" s="393"/>
      <c r="C19" s="392"/>
      <c r="D19" s="255">
        <v>116</v>
      </c>
      <c r="E19" s="257"/>
      <c r="F19" s="257"/>
      <c r="G19" s="258"/>
      <c r="H19" s="259"/>
      <c r="I19" s="259"/>
      <c r="J19" s="260">
        <f t="shared" si="1"/>
        <v>0</v>
      </c>
      <c r="K19" s="261"/>
      <c r="L19" s="262"/>
      <c r="M19" s="29">
        <f t="shared" si="0"/>
      </c>
    </row>
    <row r="20" spans="1:13" ht="13.5" customHeight="1">
      <c r="A20" s="252"/>
      <c r="B20" s="393"/>
      <c r="C20" s="392"/>
      <c r="D20" s="255">
        <v>117</v>
      </c>
      <c r="E20" s="265"/>
      <c r="F20" s="257"/>
      <c r="G20" s="266"/>
      <c r="H20" s="267"/>
      <c r="I20" s="267"/>
      <c r="J20" s="260">
        <f t="shared" si="1"/>
        <v>0</v>
      </c>
      <c r="K20" s="261"/>
      <c r="L20" s="262"/>
      <c r="M20" s="29">
        <f t="shared" si="0"/>
      </c>
    </row>
    <row r="21" spans="1:13" ht="13.5" customHeight="1">
      <c r="A21" s="252"/>
      <c r="B21" s="393"/>
      <c r="C21" s="392"/>
      <c r="D21" s="255">
        <v>118</v>
      </c>
      <c r="E21" s="256"/>
      <c r="F21" s="257"/>
      <c r="G21" s="258"/>
      <c r="H21" s="259"/>
      <c r="I21" s="259"/>
      <c r="J21" s="260">
        <f t="shared" si="1"/>
        <v>0</v>
      </c>
      <c r="K21" s="261"/>
      <c r="L21" s="262"/>
      <c r="M21" s="29">
        <f t="shared" si="0"/>
      </c>
    </row>
    <row r="22" spans="1:13" ht="13.5" customHeight="1">
      <c r="A22" s="252"/>
      <c r="B22" s="393"/>
      <c r="C22" s="392"/>
      <c r="D22" s="255">
        <v>119</v>
      </c>
      <c r="E22" s="257"/>
      <c r="F22" s="257"/>
      <c r="G22" s="258"/>
      <c r="H22" s="259"/>
      <c r="I22" s="259"/>
      <c r="J22" s="260">
        <f t="shared" si="1"/>
        <v>0</v>
      </c>
      <c r="K22" s="261"/>
      <c r="L22" s="262"/>
      <c r="M22" s="29">
        <f t="shared" si="0"/>
      </c>
    </row>
    <row r="23" spans="1:13" ht="13.5" customHeight="1" thickBot="1">
      <c r="A23" s="395"/>
      <c r="B23" s="396"/>
      <c r="C23" s="397"/>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75" t="s">
        <v>175</v>
      </c>
      <c r="I26" s="575"/>
      <c r="J26" s="575" t="s">
        <v>172</v>
      </c>
      <c r="K26" s="580"/>
    </row>
    <row r="27" spans="2:11" ht="13.5" customHeight="1" thickTop="1">
      <c r="B27" s="53"/>
      <c r="C27" s="53"/>
      <c r="D27" s="67"/>
      <c r="F27" s="297" t="s">
        <v>85</v>
      </c>
      <c r="G27" s="348">
        <f>SUMIF($E$4:$E$23,F27,$J$4:$J$23)</f>
        <v>50000</v>
      </c>
      <c r="H27" s="536">
        <f>SUMIF($E$4:$E$23,F27,$M$4:$M$23)</f>
        <v>0</v>
      </c>
      <c r="I27" s="536"/>
      <c r="J27" s="536">
        <f aca="true" t="shared" si="2" ref="J27:J35">G27-H27</f>
        <v>50000</v>
      </c>
      <c r="K27" s="619"/>
    </row>
    <row r="28" spans="2:11" ht="13.5" customHeight="1">
      <c r="B28" s="53"/>
      <c r="C28" s="53"/>
      <c r="D28" s="67"/>
      <c r="F28" s="298" t="s">
        <v>86</v>
      </c>
      <c r="G28" s="348">
        <f aca="true" t="shared" si="3" ref="G28:G35">SUMIF($E$4:$E$23,F28,$J$4:$J$23)</f>
        <v>0</v>
      </c>
      <c r="H28" s="544">
        <f aca="true" t="shared" si="4" ref="H28:H35">SUMIF($E$4:$E$23,F28,$M$4:$M$23)</f>
        <v>0</v>
      </c>
      <c r="I28" s="544"/>
      <c r="J28" s="544">
        <f t="shared" si="2"/>
        <v>0</v>
      </c>
      <c r="K28" s="547"/>
    </row>
    <row r="29" spans="2:11" ht="13.5" customHeight="1">
      <c r="B29" s="53"/>
      <c r="C29" s="53"/>
      <c r="D29" s="67"/>
      <c r="F29" s="298" t="s">
        <v>125</v>
      </c>
      <c r="G29" s="348">
        <f t="shared" si="3"/>
        <v>47000</v>
      </c>
      <c r="H29" s="544">
        <f t="shared" si="4"/>
        <v>0</v>
      </c>
      <c r="I29" s="544"/>
      <c r="J29" s="544">
        <f t="shared" si="2"/>
        <v>47000</v>
      </c>
      <c r="K29" s="547"/>
    </row>
    <row r="30" spans="2:11" ht="13.5" customHeight="1">
      <c r="B30" s="53"/>
      <c r="C30" s="53"/>
      <c r="D30" s="67"/>
      <c r="F30" s="298" t="s">
        <v>126</v>
      </c>
      <c r="G30" s="348">
        <f t="shared" si="3"/>
        <v>0</v>
      </c>
      <c r="H30" s="544">
        <f t="shared" si="4"/>
        <v>0</v>
      </c>
      <c r="I30" s="544"/>
      <c r="J30" s="544">
        <f t="shared" si="2"/>
        <v>0</v>
      </c>
      <c r="K30" s="547"/>
    </row>
    <row r="31" spans="2:11" ht="13.5" customHeight="1">
      <c r="B31" s="53"/>
      <c r="C31" s="53"/>
      <c r="D31" s="67"/>
      <c r="F31" s="298" t="s">
        <v>87</v>
      </c>
      <c r="G31" s="348">
        <f t="shared" si="3"/>
        <v>16000</v>
      </c>
      <c r="H31" s="544">
        <f t="shared" si="4"/>
        <v>0</v>
      </c>
      <c r="I31" s="544"/>
      <c r="J31" s="544">
        <f t="shared" si="2"/>
        <v>16000</v>
      </c>
      <c r="K31" s="547"/>
    </row>
    <row r="32" spans="2:11" ht="13.5" customHeight="1">
      <c r="B32" s="53"/>
      <c r="C32" s="53"/>
      <c r="D32" s="67"/>
      <c r="F32" s="298" t="s">
        <v>88</v>
      </c>
      <c r="G32" s="348">
        <f t="shared" si="3"/>
        <v>0</v>
      </c>
      <c r="H32" s="544">
        <f t="shared" si="4"/>
        <v>0</v>
      </c>
      <c r="I32" s="544"/>
      <c r="J32" s="544">
        <f t="shared" si="2"/>
        <v>0</v>
      </c>
      <c r="K32" s="547"/>
    </row>
    <row r="33" spans="2:11" ht="13.5" customHeight="1">
      <c r="B33" s="53"/>
      <c r="C33" s="53"/>
      <c r="D33" s="67"/>
      <c r="F33" s="298" t="s">
        <v>89</v>
      </c>
      <c r="G33" s="348">
        <f t="shared" si="3"/>
        <v>0</v>
      </c>
      <c r="H33" s="544">
        <f t="shared" si="4"/>
        <v>0</v>
      </c>
      <c r="I33" s="544"/>
      <c r="J33" s="544">
        <f t="shared" si="2"/>
        <v>0</v>
      </c>
      <c r="K33" s="547"/>
    </row>
    <row r="34" spans="2:11" ht="13.5" customHeight="1">
      <c r="B34" s="53"/>
      <c r="C34" s="53"/>
      <c r="D34" s="67"/>
      <c r="F34" s="298" t="s">
        <v>90</v>
      </c>
      <c r="G34" s="348">
        <f t="shared" si="3"/>
        <v>150000</v>
      </c>
      <c r="H34" s="544">
        <f t="shared" si="4"/>
        <v>0</v>
      </c>
      <c r="I34" s="544"/>
      <c r="J34" s="544">
        <f t="shared" si="2"/>
        <v>150000</v>
      </c>
      <c r="K34" s="547"/>
    </row>
    <row r="35" spans="2:11" ht="13.5" customHeight="1" thickBot="1">
      <c r="B35" s="53"/>
      <c r="C35" s="53"/>
      <c r="D35" s="67"/>
      <c r="F35" s="428" t="s">
        <v>137</v>
      </c>
      <c r="G35" s="430">
        <f t="shared" si="3"/>
        <v>0</v>
      </c>
      <c r="H35" s="590">
        <f t="shared" si="4"/>
        <v>0</v>
      </c>
      <c r="I35" s="590"/>
      <c r="J35" s="590">
        <f t="shared" si="2"/>
        <v>0</v>
      </c>
      <c r="K35" s="591"/>
    </row>
    <row r="36" spans="2:11" ht="13.5" customHeight="1" thickBot="1" thickTop="1">
      <c r="B36" s="53"/>
      <c r="C36" s="53"/>
      <c r="D36" s="47"/>
      <c r="F36" s="426" t="s">
        <v>15</v>
      </c>
      <c r="G36" s="357">
        <f>SUM(G27:G35)</f>
        <v>263000</v>
      </c>
      <c r="H36" s="592">
        <f>SUM(H27:H35)</f>
        <v>0</v>
      </c>
      <c r="I36" s="592"/>
      <c r="J36" s="592">
        <f>SUM(J27:J35)</f>
        <v>263000</v>
      </c>
      <c r="K36" s="593"/>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4">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2" t="s">
        <v>271</v>
      </c>
      <c r="I1" s="512"/>
      <c r="J1" s="512"/>
      <c r="K1" s="512"/>
    </row>
    <row r="2" spans="8:11" s="1" customFormat="1" ht="18" customHeight="1">
      <c r="H2" s="512" t="s">
        <v>285</v>
      </c>
      <c r="I2" s="512"/>
      <c r="J2" s="512"/>
      <c r="K2" s="512"/>
    </row>
    <row r="3" s="1" customFormat="1" ht="18" customHeight="1">
      <c r="K3" s="2"/>
    </row>
    <row r="4" spans="8:11" s="1" customFormat="1" ht="18" customHeight="1">
      <c r="H4" s="513" t="s">
        <v>316</v>
      </c>
      <c r="I4" s="513"/>
      <c r="J4" s="513"/>
      <c r="K4" s="513"/>
    </row>
    <row r="5" spans="8:11" s="1" customFormat="1" ht="18" customHeight="1">
      <c r="H5" s="563">
        <v>42937</v>
      </c>
      <c r="I5" s="564"/>
      <c r="J5" s="564"/>
      <c r="K5" s="564"/>
    </row>
    <row r="6" spans="1:11" s="1" customFormat="1" ht="18" customHeight="1">
      <c r="A6" s="3" t="s">
        <v>2</v>
      </c>
      <c r="H6" s="4"/>
      <c r="K6" s="11"/>
    </row>
    <row r="7" spans="1:11" s="1" customFormat="1" ht="18" customHeight="1">
      <c r="A7" s="4"/>
      <c r="H7" s="513" t="s">
        <v>272</v>
      </c>
      <c r="I7" s="513"/>
      <c r="J7" s="513"/>
      <c r="K7" s="513"/>
    </row>
    <row r="8" spans="1:11" s="1" customFormat="1" ht="18" customHeight="1">
      <c r="A8" s="4"/>
      <c r="H8" s="513" t="s">
        <v>273</v>
      </c>
      <c r="I8" s="513"/>
      <c r="J8" s="513"/>
      <c r="K8" s="513"/>
    </row>
    <row r="9" spans="1:11" s="1" customFormat="1" ht="42" customHeight="1">
      <c r="A9" s="4"/>
      <c r="H9" s="2"/>
      <c r="K9" s="46"/>
    </row>
    <row r="10" spans="1:11" ht="24" customHeight="1">
      <c r="A10" s="515" t="s">
        <v>267</v>
      </c>
      <c r="B10" s="515"/>
      <c r="C10" s="515"/>
      <c r="D10" s="515"/>
      <c r="E10" s="515"/>
      <c r="F10" s="515"/>
      <c r="G10" s="515"/>
      <c r="H10" s="515"/>
      <c r="I10" s="515"/>
      <c r="J10" s="515"/>
      <c r="K10" s="515"/>
    </row>
    <row r="11" spans="1:11" ht="24" customHeight="1">
      <c r="A11" s="516"/>
      <c r="B11" s="516"/>
      <c r="C11" s="516"/>
      <c r="D11" s="516"/>
      <c r="E11" s="516"/>
      <c r="F11" s="516"/>
      <c r="G11" s="516"/>
      <c r="H11" s="516"/>
      <c r="I11" s="516"/>
      <c r="J11" s="516"/>
      <c r="K11" s="51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7" t="s">
        <v>84</v>
      </c>
      <c r="B14" s="518"/>
      <c r="C14" s="519"/>
      <c r="D14" s="520">
        <f>'1-1'!D14:F14</f>
        <v>1190000</v>
      </c>
      <c r="E14" s="521"/>
      <c r="F14" s="522"/>
      <c r="G14" s="588"/>
      <c r="H14" s="589"/>
      <c r="I14" s="589"/>
      <c r="J14" s="589"/>
      <c r="K14" s="97">
        <f>'1-1'!K14</f>
        <v>0</v>
      </c>
    </row>
    <row r="15" spans="1:11" ht="39" customHeight="1" thickBot="1">
      <c r="A15" s="19"/>
      <c r="B15" s="18" t="s">
        <v>8</v>
      </c>
      <c r="C15" s="17" t="s">
        <v>9</v>
      </c>
      <c r="D15" s="16" t="s">
        <v>124</v>
      </c>
      <c r="E15" s="16" t="s">
        <v>123</v>
      </c>
      <c r="F15" s="17" t="s">
        <v>10</v>
      </c>
      <c r="G15" s="17" t="s">
        <v>11</v>
      </c>
      <c r="H15" s="448" t="s">
        <v>248</v>
      </c>
      <c r="I15" s="16" t="s">
        <v>12</v>
      </c>
      <c r="J15" s="447" t="s">
        <v>254</v>
      </c>
      <c r="K15" s="23" t="s">
        <v>15</v>
      </c>
    </row>
    <row r="16" spans="1:11" ht="39" customHeight="1" thickTop="1">
      <c r="A16" s="21" t="s">
        <v>102</v>
      </c>
      <c r="B16" s="434">
        <f>'1-1'!B21</f>
        <v>179000</v>
      </c>
      <c r="C16" s="322">
        <f>'1-1'!C21</f>
        <v>90000</v>
      </c>
      <c r="D16" s="322">
        <f>'1-1'!D21</f>
        <v>73000</v>
      </c>
      <c r="E16" s="322">
        <f>'1-1'!E21</f>
        <v>0</v>
      </c>
      <c r="F16" s="322">
        <f>'1-1'!F21</f>
        <v>23000</v>
      </c>
      <c r="G16" s="322">
        <f>'1-1'!G21</f>
        <v>0</v>
      </c>
      <c r="H16" s="322">
        <f>'1-1'!H21</f>
        <v>0</v>
      </c>
      <c r="I16" s="322">
        <f>'1-1'!I21</f>
        <v>150000</v>
      </c>
      <c r="J16" s="435">
        <f>'1-1'!J21</f>
        <v>62430</v>
      </c>
      <c r="K16" s="436">
        <f aca="true" t="shared" si="0" ref="K16:K22">SUM(B16:J16)</f>
        <v>577430</v>
      </c>
    </row>
    <row r="17" spans="1:11" ht="39" customHeight="1">
      <c r="A17" s="21" t="s">
        <v>16</v>
      </c>
      <c r="B17" s="434">
        <f>'随時②-2'!G38</f>
        <v>0</v>
      </c>
      <c r="C17" s="322">
        <f>'随時②-2'!G39</f>
        <v>0</v>
      </c>
      <c r="D17" s="322">
        <f>'随時②-2'!G40</f>
        <v>2714</v>
      </c>
      <c r="E17" s="322">
        <f>'随時②-2'!G41</f>
        <v>0</v>
      </c>
      <c r="F17" s="322">
        <f>'随時②-2'!G42</f>
        <v>972</v>
      </c>
      <c r="G17" s="322">
        <f>'随時②-2'!G43</f>
        <v>0</v>
      </c>
      <c r="H17" s="322">
        <f>'随時②-2'!G44</f>
        <v>0</v>
      </c>
      <c r="I17" s="322">
        <f>'随時②-2'!G45</f>
        <v>0</v>
      </c>
      <c r="J17" s="435">
        <f>'随時②-2'!G46</f>
        <v>-1000</v>
      </c>
      <c r="K17" s="436">
        <f t="shared" si="0"/>
        <v>2686</v>
      </c>
    </row>
    <row r="18" spans="1:11" ht="39" customHeight="1" thickBot="1">
      <c r="A18" s="34" t="s">
        <v>177</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0</v>
      </c>
      <c r="D19" s="451">
        <f t="shared" si="1"/>
        <v>2714</v>
      </c>
      <c r="E19" s="451">
        <f t="shared" si="1"/>
        <v>0</v>
      </c>
      <c r="F19" s="451">
        <f t="shared" si="1"/>
        <v>972</v>
      </c>
      <c r="G19" s="451">
        <f t="shared" si="1"/>
        <v>0</v>
      </c>
      <c r="H19" s="451">
        <f t="shared" si="1"/>
        <v>0</v>
      </c>
      <c r="I19" s="451">
        <f t="shared" si="1"/>
        <v>0</v>
      </c>
      <c r="J19" s="451">
        <f t="shared" si="1"/>
        <v>-1000</v>
      </c>
      <c r="K19" s="452">
        <f t="shared" si="0"/>
        <v>2686</v>
      </c>
    </row>
    <row r="20" spans="1:11" ht="39" customHeight="1" thickTop="1">
      <c r="A20" s="30" t="s">
        <v>164</v>
      </c>
      <c r="B20" s="224">
        <f>SUM(B16:B17)</f>
        <v>179000</v>
      </c>
      <c r="C20" s="224">
        <f aca="true" t="shared" si="2" ref="C20:J20">SUM(C16:C17)</f>
        <v>90000</v>
      </c>
      <c r="D20" s="224">
        <f t="shared" si="2"/>
        <v>75714</v>
      </c>
      <c r="E20" s="224">
        <f t="shared" si="2"/>
        <v>0</v>
      </c>
      <c r="F20" s="224">
        <f t="shared" si="2"/>
        <v>23972</v>
      </c>
      <c r="G20" s="224">
        <f t="shared" si="2"/>
        <v>0</v>
      </c>
      <c r="H20" s="224">
        <f t="shared" si="2"/>
        <v>0</v>
      </c>
      <c r="I20" s="224">
        <f t="shared" si="2"/>
        <v>150000</v>
      </c>
      <c r="J20" s="224">
        <f t="shared" si="2"/>
        <v>61430</v>
      </c>
      <c r="K20" s="433">
        <f t="shared" si="0"/>
        <v>580116</v>
      </c>
    </row>
    <row r="21" spans="1:11" ht="39" customHeight="1">
      <c r="A21" s="21" t="s">
        <v>165</v>
      </c>
      <c r="B21" s="453">
        <f>'1-1'!B22</f>
        <v>370000</v>
      </c>
      <c r="C21" s="453">
        <f>'1-1'!C22</f>
        <v>40000</v>
      </c>
      <c r="D21" s="453">
        <f>'1-1'!D22</f>
        <v>85000</v>
      </c>
      <c r="E21" s="453">
        <f>'1-1'!E22</f>
        <v>0</v>
      </c>
      <c r="F21" s="453">
        <f>'1-1'!F22</f>
        <v>76800</v>
      </c>
      <c r="G21" s="453">
        <f>'1-1'!G22</f>
        <v>0</v>
      </c>
      <c r="H21" s="453">
        <f>'1-1'!H22</f>
        <v>0</v>
      </c>
      <c r="I21" s="453">
        <f>'1-1'!I22</f>
        <v>0</v>
      </c>
      <c r="J21" s="453">
        <f>'1-1'!J22</f>
        <v>40000</v>
      </c>
      <c r="K21" s="436">
        <f t="shared" si="0"/>
        <v>611800</v>
      </c>
    </row>
    <row r="22" spans="1:11" ht="39" customHeight="1" thickBot="1">
      <c r="A22" s="22" t="s">
        <v>163</v>
      </c>
      <c r="B22" s="220">
        <f>SUM(B20:B21)</f>
        <v>549000</v>
      </c>
      <c r="C22" s="220">
        <f aca="true" t="shared" si="3" ref="C22:J22">SUM(C20:C21)</f>
        <v>130000</v>
      </c>
      <c r="D22" s="220">
        <f t="shared" si="3"/>
        <v>160714</v>
      </c>
      <c r="E22" s="220">
        <f t="shared" si="3"/>
        <v>0</v>
      </c>
      <c r="F22" s="220">
        <f t="shared" si="3"/>
        <v>100772</v>
      </c>
      <c r="G22" s="220">
        <f t="shared" si="3"/>
        <v>0</v>
      </c>
      <c r="H22" s="220">
        <f t="shared" si="3"/>
        <v>0</v>
      </c>
      <c r="I22" s="220">
        <f t="shared" si="3"/>
        <v>150000</v>
      </c>
      <c r="J22" s="220">
        <f t="shared" si="3"/>
        <v>101430</v>
      </c>
      <c r="K22" s="223">
        <f t="shared" si="0"/>
        <v>1191916</v>
      </c>
    </row>
    <row r="23" spans="1:11" ht="39" customHeight="1" thickBot="1">
      <c r="A23" s="32" t="s">
        <v>104</v>
      </c>
      <c r="B23" s="621">
        <v>42936</v>
      </c>
      <c r="C23" s="622"/>
      <c r="D23" s="622"/>
      <c r="E23" s="622"/>
      <c r="F23" s="622"/>
      <c r="G23" s="622"/>
      <c r="H23" s="622"/>
      <c r="I23" s="622"/>
      <c r="J23" s="622"/>
      <c r="K23" s="623"/>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25">
      <selection activeCell="G23" sqref="G2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145</v>
      </c>
      <c r="E3" s="96" t="s">
        <v>0</v>
      </c>
      <c r="F3" s="96" t="s">
        <v>196</v>
      </c>
      <c r="G3" s="96" t="s">
        <v>91</v>
      </c>
      <c r="H3" s="474" t="s">
        <v>245</v>
      </c>
      <c r="I3" s="96" t="s">
        <v>92</v>
      </c>
      <c r="J3" s="96" t="s">
        <v>93</v>
      </c>
      <c r="K3" s="228" t="s">
        <v>111</v>
      </c>
      <c r="L3" s="408" t="s">
        <v>107</v>
      </c>
    </row>
    <row r="4" spans="1:13" ht="13.5" customHeight="1">
      <c r="A4" s="91"/>
      <c r="B4" s="67"/>
      <c r="C4" s="67"/>
      <c r="D4" s="409">
        <v>106</v>
      </c>
      <c r="E4" s="316" t="str">
        <f>IF($D4="","",IF($D4&lt;=100,VLOOKUP($D4,'1-2'!$D$4:$L$103,2),VLOOKUP($D4,'随時①-2'!$D$4:$L$23,2)))</f>
        <v>消耗需用費</v>
      </c>
      <c r="F4" s="316" t="str">
        <f>IF($D4="","",IF($D4&lt;=100,VLOOKUP($D4,'1-2'!$D$4:$L$103,3),VLOOKUP($D4,'随時①-2'!$D$4:$L$23,3)))</f>
        <v>学校紹介チラシ制作</v>
      </c>
      <c r="G4" s="225">
        <f>IF($D4="","",IF($D4&lt;=100,VLOOKUP($D4,'1-2'!$D$4:$L$103,4),VLOOKUP($D4,'随時①-2'!$D$4:$L$23,4)))</f>
        <v>8</v>
      </c>
      <c r="H4" s="317">
        <f>IF($D4="","",IF($D4&lt;=100,VLOOKUP($D4,'1-2'!$D$4:$L$103,5),VLOOKUP($D4,'随時①-2'!$D$4:$L$23,5)))</f>
        <v>2000</v>
      </c>
      <c r="I4" s="317">
        <f>IF($D4="","",IF($D4&lt;=100,VLOOKUP($D4,'1-2'!$D$4:$L$103,6),VLOOKUP($D4,'随時①-2'!$D$4:$L$23,6)))</f>
        <v>1</v>
      </c>
      <c r="J4" s="225">
        <f>IF($D4="","",IF($D4&lt;=100,VLOOKUP($D4,'1-2'!$D$4:$L$103,7),VLOOKUP($D4,'随時①-2'!$D$4:$L$23,7)))</f>
        <v>16000</v>
      </c>
      <c r="K4" s="410">
        <f>IF($D4="","",IF($D4&lt;=100,VLOOKUP($D4,'1-2'!$D$4:$L$103,8),VLOOKUP($D4,'随時①-2'!$D$4:$L$23,8)))</f>
        <v>0</v>
      </c>
      <c r="L4" s="411" t="str">
        <f>IF($D4="","",IF($D4&lt;=100,VLOOKUP($D4,'1-2'!$D$4:$L$103,9),VLOOKUP($D4,'随時①-2'!$D$4:$L$23,9)))</f>
        <v>5月２２日までに配当希望</v>
      </c>
      <c r="M4" s="5">
        <f aca="true" t="shared" si="0" ref="M4:M17">IF(K4="◎",J4,"")</f>
      </c>
    </row>
    <row r="5" spans="1:13" ht="14.25">
      <c r="A5" s="91"/>
      <c r="B5" s="67"/>
      <c r="C5" s="67"/>
      <c r="D5" s="412">
        <v>15</v>
      </c>
      <c r="E5" s="316" t="str">
        <f>IF($D5="","",IF($D5&lt;=100,VLOOKUP($D5,'1-2'!$D$4:$L$103,2),VLOOKUP($D5,'随時①-2'!$D$4:$L$23,2)))</f>
        <v>負担金、補助及び交付金</v>
      </c>
      <c r="F5" s="316" t="str">
        <f>IF($D5="","",IF($D5&lt;=100,VLOOKUP($D5,'1-2'!$D$4:$L$103,3),VLOOKUP($D5,'随時①-2'!$D$4:$L$23,3)))</f>
        <v>近畿高等学校家庭科教育研究大会　会費（振込手数料含）</v>
      </c>
      <c r="G5" s="225">
        <f>IF($D5="","",IF($D5&lt;=100,VLOOKUP($D5,'1-2'!$D$4:$L$103,4),VLOOKUP($D5,'随時①-2'!$D$4:$L$23,4)))</f>
        <v>3000</v>
      </c>
      <c r="H5" s="317">
        <f>IF($D5="","",IF($D5&lt;=100,VLOOKUP($D5,'1-2'!$D$4:$L$103,5),VLOOKUP($D5,'随時①-2'!$D$4:$L$23,5)))</f>
        <v>1</v>
      </c>
      <c r="I5" s="317">
        <f>IF($D5="","",IF($D5&lt;=100,VLOOKUP($D5,'1-2'!$D$4:$L$103,6),VLOOKUP($D5,'随時①-2'!$D$4:$L$23,6)))</f>
        <v>1</v>
      </c>
      <c r="J5" s="225">
        <f>IF($D5="","",IF($D5&lt;=100,VLOOKUP($D5,'1-2'!$D$4:$L$103,7),VLOOKUP($D5,'随時①-2'!$D$4:$L$23,7)))</f>
        <v>3000</v>
      </c>
      <c r="K5" s="410">
        <f>IF($D5="","",IF($D5&lt;=100,VLOOKUP($D5,'1-2'!$D$4:$L$103,8),VLOOKUP($D5,'随時①-2'!$D$4:$L$23,8)))</f>
        <v>0</v>
      </c>
      <c r="L5" s="411">
        <f>IF($D5="","",IF($D5&lt;=100,VLOOKUP($D5,'1-2'!$D$4:$L$103,9),VLOOKUP($D5,'随時①-2'!$D$4:$L$23,9)))</f>
        <v>0</v>
      </c>
      <c r="M5" s="5">
        <f t="shared" si="0"/>
      </c>
    </row>
    <row r="6" spans="1:13" ht="14.25">
      <c r="A6" s="91"/>
      <c r="B6" s="67"/>
      <c r="C6" s="67"/>
      <c r="D6" s="412"/>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6">
        <f>IF($D18="","",IF($D18&lt;=100,VLOOKUP($D18,'1-2'!$D$4:$L$103,2),VLOOKUP($D18,'随時①-2'!$D$4:$L$23,2)))</f>
      </c>
      <c r="F18" s="346">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4" t="s">
        <v>140</v>
      </c>
      <c r="B20" s="407" t="s">
        <v>141</v>
      </c>
      <c r="C20" s="94" t="s">
        <v>143</v>
      </c>
      <c r="D20" s="94" t="s">
        <v>146</v>
      </c>
      <c r="E20" s="96" t="s">
        <v>0</v>
      </c>
      <c r="F20" s="96" t="s">
        <v>196</v>
      </c>
      <c r="G20" s="96" t="s">
        <v>91</v>
      </c>
      <c r="H20" s="474" t="s">
        <v>245</v>
      </c>
      <c r="I20" s="96" t="s">
        <v>92</v>
      </c>
      <c r="J20" s="96" t="s">
        <v>93</v>
      </c>
      <c r="K20" s="228" t="s">
        <v>111</v>
      </c>
      <c r="L20" s="408" t="s">
        <v>107</v>
      </c>
    </row>
    <row r="21" spans="1:13" ht="14.25">
      <c r="A21" s="361">
        <v>9</v>
      </c>
      <c r="B21" s="242" t="s">
        <v>275</v>
      </c>
      <c r="C21" s="263" t="s">
        <v>277</v>
      </c>
      <c r="D21" s="400">
        <v>201</v>
      </c>
      <c r="E21" s="276" t="s">
        <v>125</v>
      </c>
      <c r="F21" s="276" t="s">
        <v>312</v>
      </c>
      <c r="G21" s="488">
        <v>5.35</v>
      </c>
      <c r="H21" s="278">
        <v>2000</v>
      </c>
      <c r="I21" s="278">
        <v>1</v>
      </c>
      <c r="J21" s="401">
        <f>G21*H21*I21</f>
        <v>10700</v>
      </c>
      <c r="K21" s="279"/>
      <c r="L21" s="280" t="s">
        <v>318</v>
      </c>
      <c r="M21" s="5">
        <f aca="true" t="shared" si="1" ref="M21:M35">IF(K21="◎",J21,"")</f>
      </c>
    </row>
    <row r="22" spans="1:13" ht="14.25">
      <c r="A22" s="252">
        <v>5</v>
      </c>
      <c r="B22" s="253" t="s">
        <v>294</v>
      </c>
      <c r="C22" s="257" t="s">
        <v>295</v>
      </c>
      <c r="D22" s="402">
        <v>202</v>
      </c>
      <c r="E22" s="276" t="s">
        <v>125</v>
      </c>
      <c r="F22" s="257" t="s">
        <v>313</v>
      </c>
      <c r="G22" s="258">
        <v>500</v>
      </c>
      <c r="H22" s="259">
        <v>1</v>
      </c>
      <c r="I22" s="259">
        <v>1</v>
      </c>
      <c r="J22" s="260">
        <f>G22*H22*I22</f>
        <v>500</v>
      </c>
      <c r="K22" s="261"/>
      <c r="L22" s="262" t="s">
        <v>318</v>
      </c>
      <c r="M22" s="5">
        <f t="shared" si="1"/>
      </c>
    </row>
    <row r="23" spans="1:13" ht="14.25">
      <c r="A23" s="252"/>
      <c r="B23" s="253"/>
      <c r="C23" s="254"/>
      <c r="D23" s="402">
        <v>203</v>
      </c>
      <c r="E23" s="276" t="s">
        <v>125</v>
      </c>
      <c r="F23" s="257" t="s">
        <v>314</v>
      </c>
      <c r="G23" s="258">
        <v>3000</v>
      </c>
      <c r="H23" s="259">
        <v>1</v>
      </c>
      <c r="I23" s="259">
        <v>1</v>
      </c>
      <c r="J23" s="260">
        <f aca="true" t="shared" si="2" ref="J23:J35">G23*H23*I23</f>
        <v>3000</v>
      </c>
      <c r="K23" s="261"/>
      <c r="L23" s="262" t="s">
        <v>318</v>
      </c>
      <c r="M23" s="5">
        <f t="shared" si="1"/>
      </c>
    </row>
    <row r="24" spans="1:13" ht="14.25">
      <c r="A24" s="252"/>
      <c r="B24" s="253"/>
      <c r="C24" s="254"/>
      <c r="D24" s="402">
        <v>204</v>
      </c>
      <c r="E24" s="276" t="s">
        <v>137</v>
      </c>
      <c r="F24" s="257" t="s">
        <v>315</v>
      </c>
      <c r="G24" s="258">
        <v>2000</v>
      </c>
      <c r="H24" s="259">
        <v>1</v>
      </c>
      <c r="I24" s="259">
        <v>1</v>
      </c>
      <c r="J24" s="260">
        <f t="shared" si="2"/>
        <v>2000</v>
      </c>
      <c r="K24" s="261"/>
      <c r="L24" s="262" t="s">
        <v>318</v>
      </c>
      <c r="M24" s="5">
        <f t="shared" si="1"/>
      </c>
    </row>
    <row r="25" spans="1:13" ht="14.25">
      <c r="A25" s="252">
        <v>9</v>
      </c>
      <c r="B25" s="253" t="s">
        <v>275</v>
      </c>
      <c r="C25" s="254" t="s">
        <v>277</v>
      </c>
      <c r="D25" s="402">
        <v>205</v>
      </c>
      <c r="E25" s="276" t="s">
        <v>87</v>
      </c>
      <c r="F25" s="257" t="s">
        <v>317</v>
      </c>
      <c r="G25" s="258">
        <v>972</v>
      </c>
      <c r="H25" s="259">
        <v>1</v>
      </c>
      <c r="I25" s="259">
        <v>1</v>
      </c>
      <c r="J25" s="260">
        <f t="shared" si="2"/>
        <v>972</v>
      </c>
      <c r="K25" s="261"/>
      <c r="L25" s="262" t="s">
        <v>320</v>
      </c>
      <c r="M25" s="5">
        <f t="shared" si="1"/>
      </c>
    </row>
    <row r="26" spans="1:13" ht="14.25">
      <c r="A26" s="252">
        <v>9</v>
      </c>
      <c r="B26" s="253" t="s">
        <v>275</v>
      </c>
      <c r="C26" s="254" t="s">
        <v>277</v>
      </c>
      <c r="D26" s="402">
        <v>206</v>
      </c>
      <c r="E26" s="276" t="s">
        <v>125</v>
      </c>
      <c r="F26" s="257" t="s">
        <v>319</v>
      </c>
      <c r="G26" s="258">
        <v>4514</v>
      </c>
      <c r="H26" s="259">
        <v>1</v>
      </c>
      <c r="I26" s="259">
        <v>1</v>
      </c>
      <c r="J26" s="260">
        <f t="shared" si="2"/>
        <v>4514</v>
      </c>
      <c r="K26" s="261"/>
      <c r="L26" s="262" t="s">
        <v>320</v>
      </c>
      <c r="M26" s="5">
        <f t="shared" si="1"/>
      </c>
    </row>
    <row r="27" spans="1:13" ht="14.25">
      <c r="A27" s="252"/>
      <c r="B27" s="253"/>
      <c r="C27" s="254"/>
      <c r="D27" s="402">
        <v>207</v>
      </c>
      <c r="E27" s="276"/>
      <c r="F27" s="257"/>
      <c r="G27" s="258"/>
      <c r="H27" s="259"/>
      <c r="I27" s="259"/>
      <c r="J27" s="260">
        <f t="shared" si="2"/>
        <v>0</v>
      </c>
      <c r="K27" s="261"/>
      <c r="L27" s="262"/>
      <c r="M27" s="5">
        <f t="shared" si="1"/>
      </c>
    </row>
    <row r="28" spans="1:13" ht="14.25">
      <c r="A28" s="252"/>
      <c r="B28" s="253"/>
      <c r="C28" s="254"/>
      <c r="D28" s="402">
        <v>208</v>
      </c>
      <c r="E28" s="276"/>
      <c r="F28" s="257"/>
      <c r="G28" s="258"/>
      <c r="H28" s="259"/>
      <c r="I28" s="259"/>
      <c r="J28" s="260">
        <f t="shared" si="2"/>
        <v>0</v>
      </c>
      <c r="K28" s="261"/>
      <c r="L28" s="262"/>
      <c r="M28" s="5">
        <f t="shared" si="1"/>
      </c>
    </row>
    <row r="29" spans="1:13" ht="14.25">
      <c r="A29" s="252"/>
      <c r="B29" s="253"/>
      <c r="C29" s="254"/>
      <c r="D29" s="402">
        <v>209</v>
      </c>
      <c r="E29" s="276"/>
      <c r="F29" s="257"/>
      <c r="G29" s="258"/>
      <c r="H29" s="259"/>
      <c r="I29" s="259"/>
      <c r="J29" s="260">
        <f t="shared" si="2"/>
        <v>0</v>
      </c>
      <c r="K29" s="261"/>
      <c r="L29" s="262"/>
      <c r="M29" s="5">
        <f t="shared" si="1"/>
      </c>
    </row>
    <row r="30" spans="1:13" ht="13.5">
      <c r="A30" s="252"/>
      <c r="B30" s="253"/>
      <c r="C30" s="254"/>
      <c r="D30" s="402">
        <v>210</v>
      </c>
      <c r="E30" s="276"/>
      <c r="F30" s="257"/>
      <c r="G30" s="258"/>
      <c r="H30" s="259"/>
      <c r="I30" s="259"/>
      <c r="J30" s="260">
        <f t="shared" si="2"/>
        <v>0</v>
      </c>
      <c r="K30" s="261"/>
      <c r="L30" s="262"/>
      <c r="M30" s="5">
        <f t="shared" si="1"/>
      </c>
    </row>
    <row r="31" spans="1:13" ht="13.5">
      <c r="A31" s="252"/>
      <c r="B31" s="253"/>
      <c r="C31" s="254"/>
      <c r="D31" s="402">
        <v>211</v>
      </c>
      <c r="E31" s="276"/>
      <c r="F31" s="257"/>
      <c r="G31" s="258"/>
      <c r="H31" s="259"/>
      <c r="I31" s="259"/>
      <c r="J31" s="260">
        <f t="shared" si="2"/>
        <v>0</v>
      </c>
      <c r="K31" s="261"/>
      <c r="L31" s="262"/>
      <c r="M31" s="5">
        <f t="shared" si="1"/>
      </c>
    </row>
    <row r="32" spans="1:13" ht="13.5">
      <c r="A32" s="252"/>
      <c r="B32" s="253"/>
      <c r="C32" s="254"/>
      <c r="D32" s="402">
        <v>212</v>
      </c>
      <c r="E32" s="276"/>
      <c r="F32" s="257"/>
      <c r="G32" s="258"/>
      <c r="H32" s="259"/>
      <c r="I32" s="259"/>
      <c r="J32" s="260">
        <f t="shared" si="2"/>
        <v>0</v>
      </c>
      <c r="K32" s="261"/>
      <c r="L32" s="262"/>
      <c r="M32" s="5">
        <f t="shared" si="1"/>
      </c>
    </row>
    <row r="33" spans="1:13" ht="13.5">
      <c r="A33" s="252"/>
      <c r="B33" s="253"/>
      <c r="C33" s="254"/>
      <c r="D33" s="402">
        <v>213</v>
      </c>
      <c r="E33" s="276"/>
      <c r="F33" s="257"/>
      <c r="G33" s="258"/>
      <c r="H33" s="259"/>
      <c r="I33" s="259"/>
      <c r="J33" s="260">
        <f t="shared" si="2"/>
        <v>0</v>
      </c>
      <c r="K33" s="261"/>
      <c r="L33" s="262"/>
      <c r="M33" s="5">
        <f t="shared" si="1"/>
      </c>
    </row>
    <row r="34" spans="1:13" ht="13.5">
      <c r="A34" s="252"/>
      <c r="B34" s="253"/>
      <c r="C34" s="254"/>
      <c r="D34" s="402">
        <v>214</v>
      </c>
      <c r="E34" s="276"/>
      <c r="F34" s="257"/>
      <c r="G34" s="258"/>
      <c r="H34" s="259"/>
      <c r="I34" s="259"/>
      <c r="J34" s="260">
        <f t="shared" si="2"/>
        <v>0</v>
      </c>
      <c r="K34" s="261"/>
      <c r="L34" s="262"/>
      <c r="M34" s="5">
        <f t="shared" si="1"/>
      </c>
    </row>
    <row r="35" spans="1:13" ht="14.25" thickBot="1">
      <c r="A35" s="395"/>
      <c r="B35" s="403"/>
      <c r="C35" s="404"/>
      <c r="D35" s="405">
        <v>215</v>
      </c>
      <c r="E35" s="289"/>
      <c r="F35" s="289"/>
      <c r="G35" s="290"/>
      <c r="H35" s="291"/>
      <c r="I35" s="291"/>
      <c r="J35" s="292">
        <f t="shared" si="2"/>
        <v>0</v>
      </c>
      <c r="K35" s="406"/>
      <c r="L35" s="294"/>
      <c r="M35" s="5">
        <f t="shared" si="1"/>
      </c>
    </row>
    <row r="36" spans="1:7" ht="24" customHeight="1" thickBot="1">
      <c r="A36" s="53"/>
      <c r="B36" s="53"/>
      <c r="C36" s="53"/>
      <c r="D36" s="53"/>
      <c r="E36" s="28" t="s">
        <v>247</v>
      </c>
      <c r="F36" s="626"/>
      <c r="G36" s="626"/>
    </row>
    <row r="37" spans="1:12" ht="24" customHeight="1" thickBot="1">
      <c r="A37" s="53"/>
      <c r="B37" s="53"/>
      <c r="C37" s="53"/>
      <c r="D37" s="53"/>
      <c r="E37" s="240" t="s">
        <v>96</v>
      </c>
      <c r="F37" s="230" t="s">
        <v>109</v>
      </c>
      <c r="G37" s="157" t="s">
        <v>16</v>
      </c>
      <c r="H37" s="627" t="s">
        <v>244</v>
      </c>
      <c r="I37" s="628"/>
      <c r="J37" s="230" t="s">
        <v>108</v>
      </c>
      <c r="K37" s="527" t="s">
        <v>192</v>
      </c>
      <c r="L37" s="605"/>
    </row>
    <row r="38" spans="1:12" ht="14.25" thickTop="1">
      <c r="A38" s="53"/>
      <c r="B38" s="53"/>
      <c r="C38" s="53"/>
      <c r="D38" s="53"/>
      <c r="E38" s="297" t="s">
        <v>85</v>
      </c>
      <c r="F38" s="348">
        <f>'1-1'!B21</f>
        <v>179000</v>
      </c>
      <c r="G38" s="350">
        <f aca="true" t="shared" si="3" ref="G38:G46">-SUMIF($E$4:$E$18,$E38,$J$4:$J$18)+SUMIF($E$21:$E$35,$E38,$J$21:$J$35)</f>
        <v>0</v>
      </c>
      <c r="H38" s="536">
        <f aca="true" t="shared" si="4" ref="H38:H46">-SUMIF($E$4:$E$18,$E38,$M$4:$M$18)+SUMIF($E$21:$E$35,$E38,$M$21:$M$35)</f>
        <v>0</v>
      </c>
      <c r="I38" s="536"/>
      <c r="J38" s="349">
        <f aca="true" t="shared" si="5" ref="J38:J46">G38-H38</f>
        <v>0</v>
      </c>
      <c r="K38" s="536">
        <f aca="true" t="shared" si="6" ref="K38:K46">F38+G38</f>
        <v>179000</v>
      </c>
      <c r="L38" s="619"/>
    </row>
    <row r="39" spans="1:12" ht="13.5">
      <c r="A39" s="53"/>
      <c r="B39" s="53"/>
      <c r="C39" s="53"/>
      <c r="D39" s="53"/>
      <c r="E39" s="298" t="s">
        <v>86</v>
      </c>
      <c r="F39" s="352">
        <f>'1-1'!C21</f>
        <v>90000</v>
      </c>
      <c r="G39" s="350">
        <f t="shared" si="3"/>
        <v>0</v>
      </c>
      <c r="H39" s="544">
        <f t="shared" si="4"/>
        <v>0</v>
      </c>
      <c r="I39" s="544"/>
      <c r="J39" s="352">
        <f t="shared" si="5"/>
        <v>0</v>
      </c>
      <c r="K39" s="544">
        <f t="shared" si="6"/>
        <v>90000</v>
      </c>
      <c r="L39" s="547"/>
    </row>
    <row r="40" spans="1:12" ht="13.5">
      <c r="A40" s="53"/>
      <c r="B40" s="53"/>
      <c r="C40" s="53"/>
      <c r="D40" s="53"/>
      <c r="E40" s="298" t="s">
        <v>125</v>
      </c>
      <c r="F40" s="352">
        <f>'1-1'!D21</f>
        <v>73000</v>
      </c>
      <c r="G40" s="350">
        <f t="shared" si="3"/>
        <v>2714</v>
      </c>
      <c r="H40" s="544">
        <f t="shared" si="4"/>
        <v>0</v>
      </c>
      <c r="I40" s="544"/>
      <c r="J40" s="352">
        <f t="shared" si="5"/>
        <v>2714</v>
      </c>
      <c r="K40" s="544">
        <f t="shared" si="6"/>
        <v>75714</v>
      </c>
      <c r="L40" s="547"/>
    </row>
    <row r="41" spans="1:12" ht="13.5">
      <c r="A41" s="53"/>
      <c r="B41" s="53"/>
      <c r="C41" s="53"/>
      <c r="D41" s="53"/>
      <c r="E41" s="298" t="s">
        <v>126</v>
      </c>
      <c r="F41" s="352">
        <f>'1-1'!E21</f>
        <v>0</v>
      </c>
      <c r="G41" s="350">
        <f t="shared" si="3"/>
        <v>0</v>
      </c>
      <c r="H41" s="544">
        <f t="shared" si="4"/>
        <v>0</v>
      </c>
      <c r="I41" s="544"/>
      <c r="J41" s="352">
        <f t="shared" si="5"/>
        <v>0</v>
      </c>
      <c r="K41" s="544">
        <f t="shared" si="6"/>
        <v>0</v>
      </c>
      <c r="L41" s="547"/>
    </row>
    <row r="42" spans="1:12" ht="13.5">
      <c r="A42" s="53"/>
      <c r="B42" s="53"/>
      <c r="C42" s="53"/>
      <c r="D42" s="53"/>
      <c r="E42" s="298" t="s">
        <v>87</v>
      </c>
      <c r="F42" s="352">
        <f>'1-1'!F21</f>
        <v>23000</v>
      </c>
      <c r="G42" s="350">
        <f t="shared" si="3"/>
        <v>972</v>
      </c>
      <c r="H42" s="544">
        <f t="shared" si="4"/>
        <v>0</v>
      </c>
      <c r="I42" s="544"/>
      <c r="J42" s="352">
        <f t="shared" si="5"/>
        <v>972</v>
      </c>
      <c r="K42" s="544">
        <f t="shared" si="6"/>
        <v>23972</v>
      </c>
      <c r="L42" s="547"/>
    </row>
    <row r="43" spans="1:12" ht="13.5">
      <c r="A43" s="53"/>
      <c r="B43" s="53"/>
      <c r="C43" s="53"/>
      <c r="D43" s="53"/>
      <c r="E43" s="298" t="s">
        <v>88</v>
      </c>
      <c r="F43" s="352">
        <f>'1-1'!G21</f>
        <v>0</v>
      </c>
      <c r="G43" s="350">
        <f t="shared" si="3"/>
        <v>0</v>
      </c>
      <c r="H43" s="544">
        <f t="shared" si="4"/>
        <v>0</v>
      </c>
      <c r="I43" s="544"/>
      <c r="J43" s="352">
        <f t="shared" si="5"/>
        <v>0</v>
      </c>
      <c r="K43" s="544">
        <f t="shared" si="6"/>
        <v>0</v>
      </c>
      <c r="L43" s="547"/>
    </row>
    <row r="44" spans="1:12" ht="13.5">
      <c r="A44" s="53"/>
      <c r="B44" s="53"/>
      <c r="C44" s="53"/>
      <c r="D44" s="53"/>
      <c r="E44" s="298" t="s">
        <v>89</v>
      </c>
      <c r="F44" s="352">
        <f>'1-1'!H21</f>
        <v>0</v>
      </c>
      <c r="G44" s="350">
        <f t="shared" si="3"/>
        <v>0</v>
      </c>
      <c r="H44" s="544">
        <f t="shared" si="4"/>
        <v>0</v>
      </c>
      <c r="I44" s="544"/>
      <c r="J44" s="352">
        <f t="shared" si="5"/>
        <v>0</v>
      </c>
      <c r="K44" s="544">
        <f t="shared" si="6"/>
        <v>0</v>
      </c>
      <c r="L44" s="547"/>
    </row>
    <row r="45" spans="1:12" ht="13.5">
      <c r="A45" s="53"/>
      <c r="B45" s="53"/>
      <c r="C45" s="53"/>
      <c r="D45" s="53"/>
      <c r="E45" s="298" t="s">
        <v>90</v>
      </c>
      <c r="F45" s="352">
        <f>'1-1'!I21</f>
        <v>150000</v>
      </c>
      <c r="G45" s="350">
        <f t="shared" si="3"/>
        <v>0</v>
      </c>
      <c r="H45" s="544">
        <f t="shared" si="4"/>
        <v>0</v>
      </c>
      <c r="I45" s="544"/>
      <c r="J45" s="352">
        <f t="shared" si="5"/>
        <v>0</v>
      </c>
      <c r="K45" s="544">
        <f t="shared" si="6"/>
        <v>150000</v>
      </c>
      <c r="L45" s="547"/>
    </row>
    <row r="46" spans="1:12" ht="14.25" thickBot="1">
      <c r="A46" s="53"/>
      <c r="B46" s="53"/>
      <c r="C46" s="53"/>
      <c r="D46" s="53"/>
      <c r="E46" s="298" t="s">
        <v>137</v>
      </c>
      <c r="F46" s="398">
        <f>'1-1'!J21</f>
        <v>62430</v>
      </c>
      <c r="G46" s="350">
        <f t="shared" si="3"/>
        <v>-1000</v>
      </c>
      <c r="H46" s="590">
        <f t="shared" si="4"/>
        <v>0</v>
      </c>
      <c r="I46" s="590"/>
      <c r="J46" s="353">
        <f t="shared" si="5"/>
        <v>-1000</v>
      </c>
      <c r="K46" s="590">
        <f t="shared" si="6"/>
        <v>61430</v>
      </c>
      <c r="L46" s="591"/>
    </row>
    <row r="47" spans="1:12" ht="15" thickBot="1" thickTop="1">
      <c r="A47" s="53"/>
      <c r="B47" s="53"/>
      <c r="C47" s="53"/>
      <c r="D47" s="53"/>
      <c r="E47" s="399" t="s">
        <v>15</v>
      </c>
      <c r="F47" s="355">
        <f>SUM(F38:F46)</f>
        <v>577430</v>
      </c>
      <c r="G47" s="356">
        <f>SUM(G38:G46)</f>
        <v>2686</v>
      </c>
      <c r="H47" s="624">
        <f>SUM(H38:I46)</f>
        <v>0</v>
      </c>
      <c r="I47" s="625"/>
      <c r="J47" s="357">
        <f>SUM(J38:J46)</f>
        <v>2686</v>
      </c>
      <c r="K47" s="624">
        <f>SUM(K38:L46)</f>
        <v>580116</v>
      </c>
      <c r="L47" s="629"/>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3">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2" t="s">
        <v>14</v>
      </c>
      <c r="I1" s="512"/>
      <c r="J1" s="512"/>
      <c r="K1" s="512"/>
    </row>
    <row r="2" spans="8:11" s="1" customFormat="1" ht="18" customHeight="1">
      <c r="H2" s="512" t="s">
        <v>7</v>
      </c>
      <c r="I2" s="512"/>
      <c r="J2" s="512"/>
      <c r="K2" s="512"/>
    </row>
    <row r="3" s="1" customFormat="1" ht="18" customHeight="1">
      <c r="K3" s="2"/>
    </row>
    <row r="4" spans="8:11" s="1" customFormat="1" ht="18" customHeight="1">
      <c r="H4" s="513" t="s">
        <v>6</v>
      </c>
      <c r="I4" s="513"/>
      <c r="J4" s="513"/>
      <c r="K4" s="513"/>
    </row>
    <row r="5" spans="8:11" s="1" customFormat="1" ht="18" customHeight="1">
      <c r="H5" s="513" t="s">
        <v>144</v>
      </c>
      <c r="I5" s="513"/>
      <c r="J5" s="513"/>
      <c r="K5" s="513"/>
    </row>
    <row r="6" spans="1:11" s="1" customFormat="1" ht="18" customHeight="1">
      <c r="A6" s="3" t="s">
        <v>2</v>
      </c>
      <c r="H6" s="4"/>
      <c r="K6" s="11"/>
    </row>
    <row r="7" spans="1:11" s="1" customFormat="1" ht="18" customHeight="1">
      <c r="A7" s="4"/>
      <c r="H7" s="513" t="s">
        <v>3</v>
      </c>
      <c r="I7" s="513"/>
      <c r="J7" s="513"/>
      <c r="K7" s="513"/>
    </row>
    <row r="8" spans="1:11" s="1" customFormat="1" ht="18" customHeight="1">
      <c r="A8" s="4"/>
      <c r="H8" s="513" t="s">
        <v>4</v>
      </c>
      <c r="I8" s="513"/>
      <c r="J8" s="513"/>
      <c r="K8" s="513"/>
    </row>
    <row r="9" spans="1:11" s="1" customFormat="1" ht="42" customHeight="1">
      <c r="A9" s="4"/>
      <c r="H9" s="2"/>
      <c r="K9" s="46"/>
    </row>
    <row r="10" spans="1:11" ht="24" customHeight="1">
      <c r="A10" s="515" t="s">
        <v>269</v>
      </c>
      <c r="B10" s="515"/>
      <c r="C10" s="515"/>
      <c r="D10" s="515"/>
      <c r="E10" s="515"/>
      <c r="F10" s="515"/>
      <c r="G10" s="515"/>
      <c r="H10" s="515"/>
      <c r="I10" s="515"/>
      <c r="J10" s="515"/>
      <c r="K10" s="515"/>
    </row>
    <row r="11" spans="1:11" ht="24" customHeight="1">
      <c r="A11" s="516"/>
      <c r="B11" s="516"/>
      <c r="C11" s="516"/>
      <c r="D11" s="516"/>
      <c r="E11" s="516"/>
      <c r="F11" s="516"/>
      <c r="G11" s="516"/>
      <c r="H11" s="516"/>
      <c r="I11" s="516"/>
      <c r="J11" s="516"/>
      <c r="K11" s="51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7" t="s">
        <v>84</v>
      </c>
      <c r="B14" s="518"/>
      <c r="C14" s="519"/>
      <c r="D14" s="520">
        <f>'1-1'!D14:F14</f>
        <v>1190000</v>
      </c>
      <c r="E14" s="521"/>
      <c r="F14" s="522"/>
      <c r="G14" s="588"/>
      <c r="H14" s="589"/>
      <c r="I14" s="589"/>
      <c r="J14" s="589"/>
      <c r="K14" s="97">
        <f>'1-1'!K14</f>
        <v>0</v>
      </c>
    </row>
    <row r="15" spans="1:11" ht="39" customHeight="1" thickBot="1">
      <c r="A15" s="19"/>
      <c r="B15" s="18" t="s">
        <v>8</v>
      </c>
      <c r="C15" s="17" t="s">
        <v>9</v>
      </c>
      <c r="D15" s="16" t="s">
        <v>124</v>
      </c>
      <c r="E15" s="16" t="s">
        <v>123</v>
      </c>
      <c r="F15" s="17" t="s">
        <v>10</v>
      </c>
      <c r="G15" s="17" t="s">
        <v>11</v>
      </c>
      <c r="H15" s="448" t="s">
        <v>248</v>
      </c>
      <c r="I15" s="16" t="s">
        <v>12</v>
      </c>
      <c r="J15" s="447" t="s">
        <v>252</v>
      </c>
      <c r="K15" s="23" t="s">
        <v>15</v>
      </c>
    </row>
    <row r="16" spans="1:11" ht="39" customHeight="1" thickTop="1">
      <c r="A16" s="21" t="s">
        <v>167</v>
      </c>
      <c r="B16" s="434">
        <f>'2-1'!B23</f>
        <v>382000</v>
      </c>
      <c r="C16" s="434">
        <f>'2-1'!C23</f>
        <v>0</v>
      </c>
      <c r="D16" s="434">
        <f>'2-1'!D23</f>
        <v>127400</v>
      </c>
      <c r="E16" s="434">
        <f>'2-1'!E23</f>
        <v>0</v>
      </c>
      <c r="F16" s="434">
        <f>'2-1'!F23</f>
        <v>76800</v>
      </c>
      <c r="G16" s="434">
        <f>'2-1'!G23</f>
        <v>0</v>
      </c>
      <c r="H16" s="434">
        <f>'2-1'!H23</f>
        <v>0</v>
      </c>
      <c r="I16" s="434">
        <f>'2-1'!I23</f>
        <v>0</v>
      </c>
      <c r="J16" s="434">
        <f>'2-1'!J23</f>
        <v>40000</v>
      </c>
      <c r="K16" s="436">
        <f aca="true" t="shared" si="0" ref="K16:K23">SUM(B16:J16)</f>
        <v>626200</v>
      </c>
    </row>
    <row r="17" spans="1:11" ht="39" customHeight="1">
      <c r="A17" s="21" t="s">
        <v>177</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170</v>
      </c>
      <c r="B18" s="437">
        <f>B16-B17</f>
        <v>382000</v>
      </c>
      <c r="C18" s="437">
        <f aca="true" t="shared" si="1" ref="C18:J18">C16-C17</f>
        <v>0</v>
      </c>
      <c r="D18" s="437">
        <f t="shared" si="1"/>
        <v>127400</v>
      </c>
      <c r="E18" s="437">
        <f t="shared" si="1"/>
        <v>0</v>
      </c>
      <c r="F18" s="437">
        <f t="shared" si="1"/>
        <v>76800</v>
      </c>
      <c r="G18" s="437">
        <f t="shared" si="1"/>
        <v>0</v>
      </c>
      <c r="H18" s="437">
        <f t="shared" si="1"/>
        <v>0</v>
      </c>
      <c r="I18" s="437">
        <f t="shared" si="1"/>
        <v>0</v>
      </c>
      <c r="J18" s="437">
        <f t="shared" si="1"/>
        <v>40000</v>
      </c>
      <c r="K18" s="440">
        <f t="shared" si="0"/>
        <v>626200</v>
      </c>
    </row>
    <row r="19" spans="1:11" ht="39" customHeight="1">
      <c r="A19" s="21" t="s">
        <v>16</v>
      </c>
      <c r="B19" s="434">
        <f>'随時③-2'!G38</f>
        <v>0</v>
      </c>
      <c r="C19" s="322">
        <f>'随時③-2'!G39</f>
        <v>0</v>
      </c>
      <c r="D19" s="322">
        <f>'随時③-2'!G40</f>
        <v>-500</v>
      </c>
      <c r="E19" s="322">
        <f>'随時③-2'!G41</f>
        <v>0</v>
      </c>
      <c r="F19" s="322">
        <f>'随時③-2'!G42</f>
        <v>500</v>
      </c>
      <c r="G19" s="322">
        <f>'随時③-2'!G43</f>
        <v>0</v>
      </c>
      <c r="H19" s="322">
        <f>'随時③-2'!G44</f>
        <v>0</v>
      </c>
      <c r="I19" s="322">
        <f>'随時③-2'!G45</f>
        <v>0</v>
      </c>
      <c r="J19" s="435">
        <f>'随時③-2'!G46</f>
        <v>0</v>
      </c>
      <c r="K19" s="436">
        <f t="shared" si="0"/>
        <v>0</v>
      </c>
    </row>
    <row r="20" spans="1:11" ht="39" customHeight="1" thickBot="1">
      <c r="A20" s="43" t="s">
        <v>177</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0</v>
      </c>
      <c r="D21" s="441">
        <f t="shared" si="2"/>
        <v>-500</v>
      </c>
      <c r="E21" s="441">
        <f t="shared" si="2"/>
        <v>0</v>
      </c>
      <c r="F21" s="441">
        <f t="shared" si="2"/>
        <v>500</v>
      </c>
      <c r="G21" s="441">
        <f t="shared" si="2"/>
        <v>0</v>
      </c>
      <c r="H21" s="441">
        <f t="shared" si="2"/>
        <v>0</v>
      </c>
      <c r="I21" s="441">
        <f t="shared" si="2"/>
        <v>0</v>
      </c>
      <c r="J21" s="441">
        <f t="shared" si="2"/>
        <v>0</v>
      </c>
      <c r="K21" s="443">
        <f t="shared" si="0"/>
        <v>0</v>
      </c>
    </row>
    <row r="22" spans="1:11" ht="39" customHeight="1">
      <c r="A22" s="30" t="s">
        <v>168</v>
      </c>
      <c r="B22" s="224">
        <f>B16+B19</f>
        <v>382000</v>
      </c>
      <c r="C22" s="224">
        <f aca="true" t="shared" si="3" ref="C22:J22">C16+C19</f>
        <v>0</v>
      </c>
      <c r="D22" s="224">
        <f t="shared" si="3"/>
        <v>126900</v>
      </c>
      <c r="E22" s="224">
        <f t="shared" si="3"/>
        <v>0</v>
      </c>
      <c r="F22" s="224">
        <f t="shared" si="3"/>
        <v>77300</v>
      </c>
      <c r="G22" s="224">
        <f t="shared" si="3"/>
        <v>0</v>
      </c>
      <c r="H22" s="224">
        <f t="shared" si="3"/>
        <v>0</v>
      </c>
      <c r="I22" s="224">
        <f t="shared" si="3"/>
        <v>0</v>
      </c>
      <c r="J22" s="224">
        <f t="shared" si="3"/>
        <v>40000</v>
      </c>
      <c r="K22" s="433">
        <f t="shared" si="0"/>
        <v>626200</v>
      </c>
    </row>
    <row r="23" spans="1:11" ht="39" customHeight="1" thickBot="1">
      <c r="A23" s="22" t="s">
        <v>169</v>
      </c>
      <c r="B23" s="220">
        <f>'2-1'!B19+'随時③-1'!B22</f>
        <v>559000</v>
      </c>
      <c r="C23" s="220">
        <f>'2-1'!C19+'随時③-1'!C22</f>
        <v>86140</v>
      </c>
      <c r="D23" s="220">
        <f>'2-1'!D19+'随時③-1'!D22</f>
        <v>178622</v>
      </c>
      <c r="E23" s="220">
        <f>'2-1'!E19+'随時③-1'!E22</f>
        <v>0</v>
      </c>
      <c r="F23" s="220">
        <f>'2-1'!F19+'随時③-1'!F22</f>
        <v>98146</v>
      </c>
      <c r="G23" s="220">
        <f>'2-1'!G19+'随時③-1'!G22</f>
        <v>0</v>
      </c>
      <c r="H23" s="220">
        <f>'2-1'!H19+'随時③-1'!H22</f>
        <v>0</v>
      </c>
      <c r="I23" s="220">
        <f>'2-1'!I19+'随時③-1'!I22</f>
        <v>140292</v>
      </c>
      <c r="J23" s="220">
        <f>'2-1'!J19+'随時③-1'!J22</f>
        <v>101430</v>
      </c>
      <c r="K23" s="223">
        <f t="shared" si="0"/>
        <v>1163630</v>
      </c>
    </row>
    <row r="24" spans="1:11" ht="39" customHeight="1" thickBot="1">
      <c r="A24" s="32" t="s">
        <v>104</v>
      </c>
      <c r="B24" s="630" t="s">
        <v>122</v>
      </c>
      <c r="C24" s="565"/>
      <c r="D24" s="565"/>
      <c r="E24" s="565"/>
      <c r="F24" s="565"/>
      <c r="G24" s="565"/>
      <c r="H24" s="565"/>
      <c r="I24" s="565"/>
      <c r="J24" s="565"/>
      <c r="K24" s="566"/>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31">
      <selection activeCell="I23" sqref="I2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145</v>
      </c>
      <c r="E3" s="96" t="s">
        <v>0</v>
      </c>
      <c r="F3" s="96" t="s">
        <v>196</v>
      </c>
      <c r="G3" s="96" t="s">
        <v>91</v>
      </c>
      <c r="H3" s="474" t="s">
        <v>245</v>
      </c>
      <c r="I3" s="96" t="s">
        <v>92</v>
      </c>
      <c r="J3" s="96" t="s">
        <v>93</v>
      </c>
      <c r="K3" s="228" t="s">
        <v>111</v>
      </c>
      <c r="L3" s="296" t="s">
        <v>107</v>
      </c>
    </row>
    <row r="4" spans="1:13" ht="14.25">
      <c r="A4" s="91"/>
      <c r="B4" s="67"/>
      <c r="C4" s="67"/>
      <c r="D4" s="409">
        <v>326</v>
      </c>
      <c r="E4" s="316" t="str">
        <f>IF($D4="","",IF($D4&lt;=100,VLOOKUP($D4,'1-2'!$D$4:$L$103,2),IF($D4&lt;=200,VLOOKUP($D4,'随時①-2'!$D$4:$L$23,2),IF($D4&lt;=300,VLOOKUP($D4,'随時②-2'!$D$21:$L$35,2),VLOOKUP($D4,'2-4'!$D$4:$L$103,2)))))</f>
        <v>消耗需用費</v>
      </c>
      <c r="F4" s="316" t="str">
        <f>IF($D4="","",IF($D4&lt;=100,VLOOKUP($D4,'1-2'!$D$4:$L$103,3),IF($D4&lt;=200,VLOOKUP($D4,'随時①-2'!$D$4:$L$23,3),IF($D4&lt;=300,VLOOKUP($D4,'随時②-2'!$D$21:$L$35,3),VLOOKUP($D4,'2-4'!$D$4:$L$103,3)))))</f>
        <v>International Day（連携大学への留学生との交流） 開催経費</v>
      </c>
      <c r="G4" s="225">
        <f>IF($D4="","",IF($D4&lt;=100,VLOOKUP($D4,'1-2'!$D$4:$L$103,4),IF($D4&lt;=200,VLOOKUP($D4,'随時①-2'!$D$4:$L$23,4),IF($D4&lt;=300,VLOOKUP($D4,'随時②-2'!$D$21:$L$35,4),VLOOKUP($D4,'2-4'!$D$4:$L$103,4)))))</f>
        <v>15000</v>
      </c>
      <c r="H4" s="317">
        <f>IF($D4="","",IF($D4&lt;=100,VLOOKUP($D4,'1-2'!$D$4:$L$103,5),IF($D4&lt;=200,VLOOKUP($D4,'随時①-2'!$D$4:$L$23,5),IF($D4&lt;=300,VLOOKUP($D4,'随時②-2'!$D$21:$L$35,5),VLOOKUP($D4,'2-4'!$D$4:$L$103,5)))))</f>
        <v>1</v>
      </c>
      <c r="I4" s="317">
        <f>IF($D4="","",IF($D4&lt;=100,VLOOKUP($D4,'1-2'!$D$4:$L$103,6),IF($D4&lt;=200,VLOOKUP($D4,'随時①-2'!$D$4:$L$23,6),IF($D4&lt;=300,VLOOKUP($D4,'随時②-2'!$D$21:$L$35,6),VLOOKUP($D4,'2-4'!$D$4:$L$103,6)))))</f>
        <v>1</v>
      </c>
      <c r="J4" s="225">
        <f>IF($D4="","",IF($D4&lt;=100,VLOOKUP($D4,'1-2'!$D$4:$L$103,7),IF($D4&lt;=200,VLOOKUP($D4,'随時①-2'!$D$4:$L$23,7),IF($D4&lt;=300,VLOOKUP($D4,'随時②-2'!$D$21:$L$35,7),VLOOKUP($D4,'2-4'!$D$4:$L$103,7)))))</f>
        <v>15000</v>
      </c>
      <c r="K4" s="316">
        <f>IF($D4="","",IF($D4&lt;=100,VLOOKUP($D4,'1-2'!$D$4:$L$103,8),IF($D4&lt;=200,VLOOKUP($D4,'随時①-2'!$D$4:$L$23,8),IF($D4&lt;=300,VLOOKUP($D4,'随時②-2'!$D$21:$L$35,8),VLOOKUP($D4,'2-4'!$D$4:$L$103,8)))))</f>
        <v>0</v>
      </c>
      <c r="L4" s="418">
        <f>IF($D4="","",IF($D4&lt;=100,VLOOKUP($D4,'1-2'!$D$4:$L$103,9),IF($D4&lt;=200,VLOOKUP($D4,'随時①-2'!$D$4:$L$23,9),IF($D4&lt;=300,VLOOKUP($D4,'随時②-2'!$D$21:$L$35,9),VLOOKUP($D4,'2-4'!$D$4:$L$103,9)))))</f>
        <v>0</v>
      </c>
      <c r="M4" s="5">
        <f aca="true" t="shared" si="0" ref="M4:M18">IF(K4="◎",J4,"")</f>
      </c>
    </row>
    <row r="5" spans="1:13" ht="14.25">
      <c r="A5" s="91"/>
      <c r="B5" s="67"/>
      <c r="C5" s="67"/>
      <c r="D5" s="412"/>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3">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6">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5" t="s">
        <v>140</v>
      </c>
      <c r="B20" s="407" t="s">
        <v>141</v>
      </c>
      <c r="C20" s="96" t="s">
        <v>143</v>
      </c>
      <c r="D20" s="94" t="s">
        <v>145</v>
      </c>
      <c r="E20" s="96" t="s">
        <v>0</v>
      </c>
      <c r="F20" s="96" t="s">
        <v>196</v>
      </c>
      <c r="G20" s="96" t="s">
        <v>91</v>
      </c>
      <c r="H20" s="474" t="s">
        <v>245</v>
      </c>
      <c r="I20" s="96" t="s">
        <v>92</v>
      </c>
      <c r="J20" s="96" t="s">
        <v>93</v>
      </c>
      <c r="K20" s="228" t="s">
        <v>111</v>
      </c>
      <c r="L20" s="408" t="s">
        <v>107</v>
      </c>
    </row>
    <row r="21" spans="1:13" s="466" customFormat="1" ht="13.5" customHeight="1">
      <c r="A21" s="361"/>
      <c r="B21" s="242"/>
      <c r="C21" s="263"/>
      <c r="D21" s="465">
        <v>401</v>
      </c>
      <c r="E21" s="276" t="s">
        <v>125</v>
      </c>
      <c r="F21" s="276" t="s">
        <v>386</v>
      </c>
      <c r="G21" s="341">
        <v>14500</v>
      </c>
      <c r="H21" s="342">
        <v>1</v>
      </c>
      <c r="I21" s="342">
        <v>1</v>
      </c>
      <c r="J21" s="384">
        <f>G21*H21*I21</f>
        <v>14500</v>
      </c>
      <c r="K21" s="279"/>
      <c r="L21" s="280"/>
      <c r="M21" s="466">
        <f aca="true" t="shared" si="1" ref="M21:M35">IF(K21="◎",J21,"")</f>
      </c>
    </row>
    <row r="22" spans="1:13" s="466" customFormat="1" ht="13.5" customHeight="1">
      <c r="A22" s="252"/>
      <c r="B22" s="253"/>
      <c r="C22" s="254"/>
      <c r="D22" s="467">
        <v>402</v>
      </c>
      <c r="E22" s="276" t="s">
        <v>87</v>
      </c>
      <c r="F22" s="257" t="s">
        <v>387</v>
      </c>
      <c r="G22" s="320">
        <v>500</v>
      </c>
      <c r="H22" s="321">
        <v>1</v>
      </c>
      <c r="I22" s="321">
        <v>1</v>
      </c>
      <c r="J22" s="384">
        <f aca="true" t="shared" si="2" ref="J22:J35">G22*H22*I22</f>
        <v>500</v>
      </c>
      <c r="K22" s="261"/>
      <c r="L22" s="262"/>
      <c r="M22" s="466">
        <f t="shared" si="1"/>
      </c>
    </row>
    <row r="23" spans="1:13" s="466" customFormat="1" ht="13.5" customHeight="1">
      <c r="A23" s="252"/>
      <c r="B23" s="253"/>
      <c r="C23" s="254"/>
      <c r="D23" s="467">
        <v>403</v>
      </c>
      <c r="E23" s="276"/>
      <c r="F23" s="257"/>
      <c r="G23" s="320"/>
      <c r="H23" s="321"/>
      <c r="I23" s="321"/>
      <c r="J23" s="384">
        <f t="shared" si="2"/>
        <v>0</v>
      </c>
      <c r="K23" s="261"/>
      <c r="L23" s="262"/>
      <c r="M23" s="466">
        <f t="shared" si="1"/>
      </c>
    </row>
    <row r="24" spans="1:13" s="466" customFormat="1" ht="13.5" customHeight="1">
      <c r="A24" s="252"/>
      <c r="B24" s="253"/>
      <c r="C24" s="254"/>
      <c r="D24" s="467">
        <v>404</v>
      </c>
      <c r="E24" s="276"/>
      <c r="F24" s="257"/>
      <c r="G24" s="320"/>
      <c r="H24" s="321"/>
      <c r="I24" s="321"/>
      <c r="J24" s="384">
        <f t="shared" si="2"/>
        <v>0</v>
      </c>
      <c r="K24" s="261"/>
      <c r="L24" s="262"/>
      <c r="M24" s="466">
        <f t="shared" si="1"/>
      </c>
    </row>
    <row r="25" spans="1:13" s="466" customFormat="1" ht="13.5" customHeight="1">
      <c r="A25" s="252"/>
      <c r="B25" s="253"/>
      <c r="C25" s="254"/>
      <c r="D25" s="467">
        <v>405</v>
      </c>
      <c r="E25" s="276"/>
      <c r="F25" s="257"/>
      <c r="G25" s="320"/>
      <c r="H25" s="321"/>
      <c r="I25" s="321"/>
      <c r="J25" s="384">
        <f t="shared" si="2"/>
        <v>0</v>
      </c>
      <c r="K25" s="261"/>
      <c r="L25" s="262"/>
      <c r="M25" s="466">
        <f t="shared" si="1"/>
      </c>
    </row>
    <row r="26" spans="1:13" s="466" customFormat="1" ht="13.5" customHeight="1">
      <c r="A26" s="252"/>
      <c r="B26" s="253"/>
      <c r="C26" s="254"/>
      <c r="D26" s="467">
        <v>406</v>
      </c>
      <c r="E26" s="276"/>
      <c r="F26" s="257"/>
      <c r="G26" s="320"/>
      <c r="H26" s="321"/>
      <c r="I26" s="321"/>
      <c r="J26" s="384">
        <f t="shared" si="2"/>
        <v>0</v>
      </c>
      <c r="K26" s="261"/>
      <c r="L26" s="262"/>
      <c r="M26" s="466">
        <f t="shared" si="1"/>
      </c>
    </row>
    <row r="27" spans="1:13" s="466" customFormat="1" ht="13.5" customHeight="1">
      <c r="A27" s="252"/>
      <c r="B27" s="253"/>
      <c r="C27" s="254"/>
      <c r="D27" s="467">
        <v>407</v>
      </c>
      <c r="E27" s="276"/>
      <c r="F27" s="257"/>
      <c r="G27" s="320"/>
      <c r="H27" s="321"/>
      <c r="I27" s="321"/>
      <c r="J27" s="384">
        <f t="shared" si="2"/>
        <v>0</v>
      </c>
      <c r="K27" s="261"/>
      <c r="L27" s="262"/>
      <c r="M27" s="466">
        <f t="shared" si="1"/>
      </c>
    </row>
    <row r="28" spans="1:13" s="466" customFormat="1" ht="13.5" customHeight="1">
      <c r="A28" s="252"/>
      <c r="B28" s="253"/>
      <c r="C28" s="254"/>
      <c r="D28" s="467">
        <v>408</v>
      </c>
      <c r="E28" s="276"/>
      <c r="F28" s="257"/>
      <c r="G28" s="320"/>
      <c r="H28" s="321"/>
      <c r="I28" s="321"/>
      <c r="J28" s="384">
        <f t="shared" si="2"/>
        <v>0</v>
      </c>
      <c r="K28" s="261"/>
      <c r="L28" s="262"/>
      <c r="M28" s="466">
        <f t="shared" si="1"/>
      </c>
    </row>
    <row r="29" spans="1:13" s="466" customFormat="1" ht="13.5" customHeight="1">
      <c r="A29" s="252"/>
      <c r="B29" s="253"/>
      <c r="C29" s="254"/>
      <c r="D29" s="467">
        <v>409</v>
      </c>
      <c r="E29" s="276"/>
      <c r="F29" s="276"/>
      <c r="G29" s="320"/>
      <c r="H29" s="321"/>
      <c r="I29" s="321"/>
      <c r="J29" s="384">
        <f t="shared" si="2"/>
        <v>0</v>
      </c>
      <c r="K29" s="261"/>
      <c r="L29" s="262"/>
      <c r="M29" s="466">
        <f t="shared" si="1"/>
      </c>
    </row>
    <row r="30" spans="1:13" s="466" customFormat="1" ht="13.5" customHeight="1">
      <c r="A30" s="252"/>
      <c r="B30" s="253"/>
      <c r="C30" s="254"/>
      <c r="D30" s="467">
        <v>410</v>
      </c>
      <c r="E30" s="276"/>
      <c r="F30" s="257"/>
      <c r="G30" s="320"/>
      <c r="H30" s="321"/>
      <c r="I30" s="321"/>
      <c r="J30" s="384">
        <f t="shared" si="2"/>
        <v>0</v>
      </c>
      <c r="K30" s="261"/>
      <c r="L30" s="262"/>
      <c r="M30" s="466">
        <f t="shared" si="1"/>
      </c>
    </row>
    <row r="31" spans="1:13" s="466" customFormat="1" ht="13.5" customHeight="1">
      <c r="A31" s="252"/>
      <c r="B31" s="253"/>
      <c r="C31" s="254"/>
      <c r="D31" s="467">
        <v>411</v>
      </c>
      <c r="E31" s="276"/>
      <c r="F31" s="257"/>
      <c r="G31" s="320"/>
      <c r="H31" s="321"/>
      <c r="I31" s="321"/>
      <c r="J31" s="384">
        <f t="shared" si="2"/>
        <v>0</v>
      </c>
      <c r="K31" s="261"/>
      <c r="L31" s="262"/>
      <c r="M31" s="466">
        <f t="shared" si="1"/>
      </c>
    </row>
    <row r="32" spans="1:13" s="466" customFormat="1" ht="13.5" customHeight="1">
      <c r="A32" s="252"/>
      <c r="B32" s="253"/>
      <c r="C32" s="254"/>
      <c r="D32" s="467">
        <v>412</v>
      </c>
      <c r="E32" s="276"/>
      <c r="F32" s="257"/>
      <c r="G32" s="320"/>
      <c r="H32" s="321"/>
      <c r="I32" s="321"/>
      <c r="J32" s="384">
        <f t="shared" si="2"/>
        <v>0</v>
      </c>
      <c r="K32" s="261"/>
      <c r="L32" s="262"/>
      <c r="M32" s="466">
        <f t="shared" si="1"/>
      </c>
    </row>
    <row r="33" spans="1:13" s="466" customFormat="1" ht="13.5" customHeight="1">
      <c r="A33" s="252"/>
      <c r="B33" s="253"/>
      <c r="C33" s="254"/>
      <c r="D33" s="467">
        <v>413</v>
      </c>
      <c r="E33" s="276"/>
      <c r="F33" s="257"/>
      <c r="G33" s="320"/>
      <c r="H33" s="321"/>
      <c r="I33" s="321"/>
      <c r="J33" s="384">
        <f t="shared" si="2"/>
        <v>0</v>
      </c>
      <c r="K33" s="261"/>
      <c r="L33" s="262"/>
      <c r="M33" s="466">
        <f t="shared" si="1"/>
      </c>
    </row>
    <row r="34" spans="1:13" s="466" customFormat="1" ht="13.5" customHeight="1">
      <c r="A34" s="252"/>
      <c r="B34" s="253"/>
      <c r="C34" s="254"/>
      <c r="D34" s="467">
        <v>414</v>
      </c>
      <c r="E34" s="276"/>
      <c r="F34" s="257"/>
      <c r="G34" s="320"/>
      <c r="H34" s="321"/>
      <c r="I34" s="321"/>
      <c r="J34" s="384">
        <f t="shared" si="2"/>
        <v>0</v>
      </c>
      <c r="K34" s="261"/>
      <c r="L34" s="262"/>
      <c r="M34" s="466">
        <f t="shared" si="1"/>
      </c>
    </row>
    <row r="35" spans="1:13" s="466" customFormat="1" ht="13.5" customHeight="1" thickBot="1">
      <c r="A35" s="395"/>
      <c r="B35" s="403"/>
      <c r="C35" s="404"/>
      <c r="D35" s="468">
        <v>415</v>
      </c>
      <c r="E35" s="289"/>
      <c r="F35" s="289"/>
      <c r="G35" s="469"/>
      <c r="H35" s="470"/>
      <c r="I35" s="470"/>
      <c r="J35" s="462">
        <f t="shared" si="2"/>
        <v>0</v>
      </c>
      <c r="K35" s="471"/>
      <c r="L35" s="472"/>
      <c r="M35" s="466">
        <f t="shared" si="1"/>
      </c>
    </row>
    <row r="36" spans="1:7" ht="24" customHeight="1" thickBot="1">
      <c r="A36" s="53"/>
      <c r="B36" s="53"/>
      <c r="C36" s="53"/>
      <c r="E36" s="431" t="s">
        <v>246</v>
      </c>
      <c r="F36" s="626"/>
      <c r="G36" s="626"/>
    </row>
    <row r="37" spans="1:12" ht="24" customHeight="1" thickBot="1">
      <c r="A37" s="53"/>
      <c r="B37" s="53"/>
      <c r="C37" s="53"/>
      <c r="E37" s="240" t="s">
        <v>96</v>
      </c>
      <c r="F37" s="230" t="s">
        <v>171</v>
      </c>
      <c r="G37" s="230" t="s">
        <v>16</v>
      </c>
      <c r="H37" s="627" t="s">
        <v>244</v>
      </c>
      <c r="I37" s="628"/>
      <c r="J37" s="157" t="s">
        <v>108</v>
      </c>
      <c r="K37" s="594" t="s">
        <v>193</v>
      </c>
      <c r="L37" s="595"/>
    </row>
    <row r="38" spans="1:12" ht="14.25" thickTop="1">
      <c r="A38" s="53"/>
      <c r="B38" s="53"/>
      <c r="C38" s="53"/>
      <c r="E38" s="298" t="s">
        <v>85</v>
      </c>
      <c r="F38" s="348">
        <f>'2-1'!B23</f>
        <v>382000</v>
      </c>
      <c r="G38" s="348">
        <f aca="true" t="shared" si="3" ref="G38:G46">-SUMIF($E$4:$E$18,$E38,$J$4:$J$18)+SUMIF($E$21:$E$35,$E38,$J$21:$J$35)</f>
        <v>0</v>
      </c>
      <c r="H38" s="537">
        <f aca="true" t="shared" si="4" ref="H38:H46">-SUMIF($E$4:$E$18,$E38,$M$4:$M$18)+SUMIF($E$21:$E$35,$E38,$M$21:$M$35)</f>
        <v>0</v>
      </c>
      <c r="I38" s="612"/>
      <c r="J38" s="350">
        <f aca="true" t="shared" si="5" ref="J38:J46">G38-H38</f>
        <v>0</v>
      </c>
      <c r="K38" s="554">
        <f aca="true" t="shared" si="6" ref="K38:K46">F38+G38</f>
        <v>382000</v>
      </c>
      <c r="L38" s="596"/>
    </row>
    <row r="39" spans="1:12" ht="13.5">
      <c r="A39" s="53"/>
      <c r="B39" s="53"/>
      <c r="C39" s="53"/>
      <c r="E39" s="298" t="s">
        <v>86</v>
      </c>
      <c r="F39" s="352">
        <f>'2-1'!C23</f>
        <v>0</v>
      </c>
      <c r="G39" s="348">
        <f t="shared" si="3"/>
        <v>0</v>
      </c>
      <c r="H39" s="545">
        <f t="shared" si="4"/>
        <v>0</v>
      </c>
      <c r="I39" s="601"/>
      <c r="J39" s="350">
        <f t="shared" si="5"/>
        <v>0</v>
      </c>
      <c r="K39" s="554">
        <f t="shared" si="6"/>
        <v>0</v>
      </c>
      <c r="L39" s="596"/>
    </row>
    <row r="40" spans="1:12" ht="13.5">
      <c r="A40" s="53"/>
      <c r="B40" s="53"/>
      <c r="C40" s="53"/>
      <c r="E40" s="298" t="s">
        <v>125</v>
      </c>
      <c r="F40" s="352">
        <f>'2-1'!D23</f>
        <v>127400</v>
      </c>
      <c r="G40" s="348">
        <f t="shared" si="3"/>
        <v>-500</v>
      </c>
      <c r="H40" s="545">
        <f t="shared" si="4"/>
        <v>0</v>
      </c>
      <c r="I40" s="601"/>
      <c r="J40" s="350">
        <f t="shared" si="5"/>
        <v>-500</v>
      </c>
      <c r="K40" s="554">
        <f t="shared" si="6"/>
        <v>126900</v>
      </c>
      <c r="L40" s="596"/>
    </row>
    <row r="41" spans="1:12" ht="13.5">
      <c r="A41" s="53"/>
      <c r="B41" s="53"/>
      <c r="C41" s="53"/>
      <c r="E41" s="298" t="s">
        <v>126</v>
      </c>
      <c r="F41" s="352">
        <f>'2-1'!E23</f>
        <v>0</v>
      </c>
      <c r="G41" s="348">
        <f t="shared" si="3"/>
        <v>0</v>
      </c>
      <c r="H41" s="545">
        <f t="shared" si="4"/>
        <v>0</v>
      </c>
      <c r="I41" s="601"/>
      <c r="J41" s="350">
        <f t="shared" si="5"/>
        <v>0</v>
      </c>
      <c r="K41" s="554">
        <f t="shared" si="6"/>
        <v>0</v>
      </c>
      <c r="L41" s="596"/>
    </row>
    <row r="42" spans="1:12" ht="13.5">
      <c r="A42" s="53"/>
      <c r="B42" s="53"/>
      <c r="C42" s="53"/>
      <c r="E42" s="298" t="s">
        <v>87</v>
      </c>
      <c r="F42" s="352">
        <f>'2-1'!F23</f>
        <v>76800</v>
      </c>
      <c r="G42" s="348">
        <f t="shared" si="3"/>
        <v>500</v>
      </c>
      <c r="H42" s="545">
        <f t="shared" si="4"/>
        <v>0</v>
      </c>
      <c r="I42" s="601"/>
      <c r="J42" s="350">
        <f t="shared" si="5"/>
        <v>500</v>
      </c>
      <c r="K42" s="554">
        <f t="shared" si="6"/>
        <v>77300</v>
      </c>
      <c r="L42" s="596"/>
    </row>
    <row r="43" spans="1:12" ht="13.5">
      <c r="A43" s="53"/>
      <c r="B43" s="53"/>
      <c r="C43" s="53"/>
      <c r="E43" s="298" t="s">
        <v>88</v>
      </c>
      <c r="F43" s="352">
        <f>'2-1'!G23</f>
        <v>0</v>
      </c>
      <c r="G43" s="348">
        <f t="shared" si="3"/>
        <v>0</v>
      </c>
      <c r="H43" s="545">
        <f t="shared" si="4"/>
        <v>0</v>
      </c>
      <c r="I43" s="601"/>
      <c r="J43" s="350">
        <f t="shared" si="5"/>
        <v>0</v>
      </c>
      <c r="K43" s="554">
        <f t="shared" si="6"/>
        <v>0</v>
      </c>
      <c r="L43" s="596"/>
    </row>
    <row r="44" spans="1:12" ht="13.5">
      <c r="A44" s="53"/>
      <c r="B44" s="53"/>
      <c r="C44" s="53"/>
      <c r="E44" s="298" t="s">
        <v>89</v>
      </c>
      <c r="F44" s="352">
        <f>'2-1'!H23</f>
        <v>0</v>
      </c>
      <c r="G44" s="348">
        <f t="shared" si="3"/>
        <v>0</v>
      </c>
      <c r="H44" s="545">
        <f t="shared" si="4"/>
        <v>0</v>
      </c>
      <c r="I44" s="601"/>
      <c r="J44" s="350">
        <f t="shared" si="5"/>
        <v>0</v>
      </c>
      <c r="K44" s="554">
        <f t="shared" si="6"/>
        <v>0</v>
      </c>
      <c r="L44" s="596"/>
    </row>
    <row r="45" spans="1:12" ht="13.5">
      <c r="A45" s="53"/>
      <c r="B45" s="53"/>
      <c r="C45" s="53"/>
      <c r="E45" s="298" t="s">
        <v>90</v>
      </c>
      <c r="F45" s="352">
        <f>'2-1'!I23</f>
        <v>0</v>
      </c>
      <c r="G45" s="348">
        <f t="shared" si="3"/>
        <v>0</v>
      </c>
      <c r="H45" s="545">
        <f t="shared" si="4"/>
        <v>0</v>
      </c>
      <c r="I45" s="601"/>
      <c r="J45" s="350">
        <f t="shared" si="5"/>
        <v>0</v>
      </c>
      <c r="K45" s="554">
        <f t="shared" si="6"/>
        <v>0</v>
      </c>
      <c r="L45" s="596"/>
    </row>
    <row r="46" spans="1:12" ht="14.25" thickBot="1">
      <c r="A46" s="53"/>
      <c r="B46" s="53"/>
      <c r="C46" s="53"/>
      <c r="E46" s="298" t="s">
        <v>137</v>
      </c>
      <c r="F46" s="398">
        <f>'2-1'!J23</f>
        <v>40000</v>
      </c>
      <c r="G46" s="348">
        <f t="shared" si="3"/>
        <v>0</v>
      </c>
      <c r="H46" s="632">
        <f t="shared" si="4"/>
        <v>0</v>
      </c>
      <c r="I46" s="633"/>
      <c r="J46" s="350">
        <f t="shared" si="5"/>
        <v>0</v>
      </c>
      <c r="K46" s="590">
        <f t="shared" si="6"/>
        <v>40000</v>
      </c>
      <c r="L46" s="591"/>
    </row>
    <row r="47" spans="1:12" ht="15" thickBot="1" thickTop="1">
      <c r="A47" s="53"/>
      <c r="B47" s="53"/>
      <c r="C47" s="53"/>
      <c r="E47" s="399" t="s">
        <v>15</v>
      </c>
      <c r="F47" s="355">
        <f>SUM(F38:F46)</f>
        <v>626200</v>
      </c>
      <c r="G47" s="355">
        <f>SUM(G38:G46)</f>
        <v>0</v>
      </c>
      <c r="H47" s="631">
        <f>SUM(H38:I46)</f>
        <v>0</v>
      </c>
      <c r="I47" s="625"/>
      <c r="J47" s="356">
        <f>SUM(J38:J46)</f>
        <v>0</v>
      </c>
      <c r="K47" s="592">
        <f>SUM(K38:L46)</f>
        <v>626200</v>
      </c>
      <c r="L47" s="593"/>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69"/>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34" t="s">
        <v>142</v>
      </c>
      <c r="G2" s="532"/>
      <c r="H2" s="532"/>
      <c r="I2" s="532"/>
      <c r="J2" s="535"/>
      <c r="K2" s="531" t="s">
        <v>115</v>
      </c>
      <c r="L2" s="532"/>
      <c r="M2" s="532"/>
      <c r="N2" s="532"/>
      <c r="O2" s="533"/>
      <c r="P2" s="13"/>
    </row>
    <row r="3" spans="1:21" ht="24" customHeight="1">
      <c r="A3" s="422" t="s">
        <v>140</v>
      </c>
      <c r="B3" s="295" t="s">
        <v>141</v>
      </c>
      <c r="C3" s="60" t="s">
        <v>143</v>
      </c>
      <c r="D3" s="96" t="s">
        <v>160</v>
      </c>
      <c r="E3" s="96" t="s">
        <v>0</v>
      </c>
      <c r="F3" s="96" t="s">
        <v>196</v>
      </c>
      <c r="G3" s="96" t="s">
        <v>91</v>
      </c>
      <c r="H3" s="474" t="s">
        <v>245</v>
      </c>
      <c r="I3" s="96" t="s">
        <v>92</v>
      </c>
      <c r="J3" s="96" t="s">
        <v>93</v>
      </c>
      <c r="K3" s="386" t="s">
        <v>198</v>
      </c>
      <c r="L3" s="387" t="s">
        <v>91</v>
      </c>
      <c r="M3" s="474" t="s">
        <v>245</v>
      </c>
      <c r="N3" s="387" t="s">
        <v>92</v>
      </c>
      <c r="O3" s="388" t="s">
        <v>93</v>
      </c>
      <c r="P3" s="228" t="s">
        <v>111</v>
      </c>
      <c r="Q3" s="296" t="s">
        <v>107</v>
      </c>
      <c r="R3" s="62" t="s">
        <v>147</v>
      </c>
      <c r="S3" s="61" t="s">
        <v>148</v>
      </c>
      <c r="T3" s="61" t="s">
        <v>149</v>
      </c>
      <c r="U3" s="61" t="s">
        <v>150</v>
      </c>
    </row>
    <row r="4" spans="1:21" ht="30" customHeight="1">
      <c r="A4" s="363">
        <f>'1-2'!A4</f>
        <v>0</v>
      </c>
      <c r="B4" s="364">
        <f>'1-2'!B4</f>
        <v>0</v>
      </c>
      <c r="C4" s="365">
        <f>'1-2'!C4</f>
        <v>0</v>
      </c>
      <c r="D4" s="244">
        <v>1</v>
      </c>
      <c r="E4" s="303" t="str">
        <f>'2-2'!E4</f>
        <v>負担金、補助及び交付金</v>
      </c>
      <c r="F4" s="303" t="str">
        <f>'2-2'!F4</f>
        <v>各種団体負担金（会費）</v>
      </c>
      <c r="G4" s="304">
        <f>'2-2'!G4</f>
        <v>57430</v>
      </c>
      <c r="H4" s="305">
        <f>'2-2'!H4</f>
        <v>1</v>
      </c>
      <c r="I4" s="305">
        <f>'2-2'!I4</f>
        <v>1</v>
      </c>
      <c r="J4" s="366">
        <f>'2-2'!J4</f>
        <v>57430</v>
      </c>
      <c r="K4" s="367" t="str">
        <f>'2-2'!K4</f>
        <v>各種団体負担金（会費）</v>
      </c>
      <c r="L4" s="304">
        <f>'2-2'!L4</f>
        <v>57430</v>
      </c>
      <c r="M4" s="305">
        <f>'2-2'!M4</f>
        <v>1</v>
      </c>
      <c r="N4" s="305">
        <f>'2-2'!N4</f>
        <v>1</v>
      </c>
      <c r="O4" s="368">
        <f>L4*M4*N4</f>
        <v>57430</v>
      </c>
      <c r="P4" s="369">
        <f>'2-2'!P4</f>
        <v>0</v>
      </c>
      <c r="Q4" s="370" t="str">
        <f>'2-2'!Q4</f>
        <v>詳細は様式２－３のとおり</v>
      </c>
      <c r="R4" s="25">
        <f>IF(AND(ISNA(MATCH($D4,'随時②-2'!$D$4:$D$18,0)),ISNA(MATCH($D4,'随時③-2'!$D$4:$D$18,0))),0,1)</f>
        <v>0</v>
      </c>
      <c r="S4" s="63">
        <f aca="true" t="shared" si="0" ref="S4:S17">IF(P4="◎",J4,"")</f>
      </c>
      <c r="T4" s="63">
        <f aca="true" t="shared" si="1" ref="T4:T17">IF(P4="◎",O4,"")</f>
      </c>
      <c r="U4" s="5">
        <f>IF($E4=0,"",VLOOKUP($E4,$V$5:$X$13,2))</f>
        <v>9</v>
      </c>
    </row>
    <row r="5" spans="1:23" ht="30" customHeight="1">
      <c r="A5" s="371">
        <f>'1-2'!A5</f>
        <v>2</v>
      </c>
      <c r="B5" s="372" t="str">
        <f>'1-2'!B5</f>
        <v>1-(3)-ウ</v>
      </c>
      <c r="C5" s="373" t="str">
        <f>'1-2'!C5</f>
        <v>進路実現</v>
      </c>
      <c r="D5" s="255">
        <v>2</v>
      </c>
      <c r="E5" s="315" t="str">
        <f>'2-2'!E5</f>
        <v>報償費</v>
      </c>
      <c r="F5" s="316" t="str">
        <f>'2-2'!F5</f>
        <v>3年進路講演会講師謝礼</v>
      </c>
      <c r="G5" s="225">
        <f>'2-2'!G5</f>
        <v>1000</v>
      </c>
      <c r="H5" s="317">
        <f>'2-2'!H5</f>
        <v>5</v>
      </c>
      <c r="I5" s="317">
        <f>'2-2'!I5</f>
        <v>1</v>
      </c>
      <c r="J5" s="374">
        <f>'2-2'!J5</f>
        <v>5000</v>
      </c>
      <c r="K5" s="375" t="str">
        <f>'2-2'!K5</f>
        <v>3年進路講演会講師謝礼</v>
      </c>
      <c r="L5" s="225">
        <f>'2-2'!L5</f>
        <v>1000</v>
      </c>
      <c r="M5" s="317">
        <f>'2-2'!M5</f>
        <v>3</v>
      </c>
      <c r="N5" s="317">
        <f>'2-2'!N5</f>
        <v>1</v>
      </c>
      <c r="O5" s="343">
        <f>L5*M5*N5</f>
        <v>3000</v>
      </c>
      <c r="P5" s="376">
        <f>'2-2'!P5</f>
        <v>0</v>
      </c>
      <c r="Q5" s="377">
        <f>'2-2'!Q5</f>
        <v>0</v>
      </c>
      <c r="R5" s="25">
        <f>IF(AND(ISNA(MATCH($D5,'随時②-2'!$D$4:$D$18,0)),ISNA(MATCH($D5,'随時③-2'!$D$4:$D$18,0))),0,1)</f>
        <v>0</v>
      </c>
      <c r="S5" s="63">
        <f t="shared" si="0"/>
      </c>
      <c r="T5" s="63">
        <f t="shared" si="1"/>
      </c>
      <c r="U5" s="5">
        <f aca="true" t="shared" si="2" ref="U5:U17">IF($E5=0,"",VLOOKUP($E5,$V$5:$X$13,2))</f>
        <v>1</v>
      </c>
      <c r="V5" s="5" t="s">
        <v>151</v>
      </c>
      <c r="W5" s="5">
        <v>6</v>
      </c>
    </row>
    <row r="6" spans="1:23" ht="30" customHeight="1">
      <c r="A6" s="371">
        <f>'1-2'!A6</f>
        <v>2</v>
      </c>
      <c r="B6" s="372" t="str">
        <f>'1-2'!B6</f>
        <v>1-(3)-ウ</v>
      </c>
      <c r="C6" s="373" t="str">
        <f>'1-2'!C6</f>
        <v>進路実現</v>
      </c>
      <c r="D6" s="255">
        <v>3</v>
      </c>
      <c r="E6" s="315" t="str">
        <f>'2-2'!E6</f>
        <v>役務費</v>
      </c>
      <c r="F6" s="316" t="str">
        <f>'2-2'!F6</f>
        <v>手話通訳謝礼</v>
      </c>
      <c r="G6" s="225">
        <f>'2-2'!G6</f>
        <v>7000</v>
      </c>
      <c r="H6" s="317">
        <f>'2-2'!H6</f>
        <v>1</v>
      </c>
      <c r="I6" s="317">
        <f>'2-2'!I6</f>
        <v>1</v>
      </c>
      <c r="J6" s="374">
        <f>'2-2'!J6</f>
        <v>7000</v>
      </c>
      <c r="K6" s="375" t="str">
        <f>'2-2'!K6</f>
        <v>手話通訳謝礼</v>
      </c>
      <c r="L6" s="225">
        <f>'2-2'!L6</f>
        <v>7000</v>
      </c>
      <c r="M6" s="317">
        <f>'2-2'!M6</f>
        <v>1</v>
      </c>
      <c r="N6" s="317">
        <f>'2-2'!N6</f>
        <v>1</v>
      </c>
      <c r="O6" s="343">
        <f aca="true" t="shared" si="3" ref="O6:O17">L6*M6*N6</f>
        <v>7000</v>
      </c>
      <c r="P6" s="376">
        <f>'2-2'!P6</f>
        <v>0</v>
      </c>
      <c r="Q6" s="377">
        <f>'2-2'!Q6</f>
        <v>0</v>
      </c>
      <c r="R6" s="25">
        <f>IF(AND(ISNA(MATCH($D6,'随時②-2'!$D$4:$D$18,0)),ISNA(MATCH($D6,'随時③-2'!$D$4:$D$18,0))),0,1)</f>
        <v>0</v>
      </c>
      <c r="S6" s="63">
        <f t="shared" si="0"/>
      </c>
      <c r="T6" s="63">
        <f t="shared" si="1"/>
      </c>
      <c r="U6" s="5">
        <f t="shared" si="2"/>
        <v>5</v>
      </c>
      <c r="V6" s="5" t="s">
        <v>152</v>
      </c>
      <c r="W6" s="5">
        <v>4</v>
      </c>
    </row>
    <row r="7" spans="1:23" ht="30" customHeight="1">
      <c r="A7" s="371">
        <f>'1-2'!A7</f>
        <v>3</v>
      </c>
      <c r="B7" s="372" t="str">
        <f>'1-2'!B7</f>
        <v>2-(1)-ア</v>
      </c>
      <c r="C7" s="373" t="str">
        <f>'1-2'!C7</f>
        <v>教員のコミュニケーション能力向上</v>
      </c>
      <c r="D7" s="255">
        <v>4</v>
      </c>
      <c r="E7" s="315" t="str">
        <f>'2-2'!E7</f>
        <v>報償費</v>
      </c>
      <c r="F7" s="316" t="str">
        <f>'2-2'!F7</f>
        <v>教職員人権・教育相談研修講師謝礼</v>
      </c>
      <c r="G7" s="225">
        <f>'2-2'!G7</f>
        <v>20000</v>
      </c>
      <c r="H7" s="317">
        <f>'2-2'!H7</f>
        <v>1</v>
      </c>
      <c r="I7" s="317">
        <f>'2-2'!I7</f>
        <v>1</v>
      </c>
      <c r="J7" s="374">
        <f>'2-2'!J7</f>
        <v>20000</v>
      </c>
      <c r="K7" s="375" t="str">
        <f>'2-2'!K7</f>
        <v>教職員人権・教育相談研修講師謝礼</v>
      </c>
      <c r="L7" s="225">
        <f>'2-2'!L7</f>
        <v>20000</v>
      </c>
      <c r="M7" s="317">
        <f>'2-2'!M7</f>
        <v>1</v>
      </c>
      <c r="N7" s="317">
        <f>'2-2'!N7</f>
        <v>1</v>
      </c>
      <c r="O7" s="343">
        <f t="shared" si="3"/>
        <v>20000</v>
      </c>
      <c r="P7" s="376">
        <f>'2-2'!P7</f>
        <v>0</v>
      </c>
      <c r="Q7" s="377">
        <f>'2-2'!Q7</f>
        <v>0</v>
      </c>
      <c r="R7" s="25">
        <f>IF(AND(ISNA(MATCH($D7,'随時②-2'!$D$4:$D$18,0)),ISNA(MATCH($D7,'随時③-2'!$D$4:$D$18,0))),0,1)</f>
        <v>0</v>
      </c>
      <c r="S7" s="63">
        <f t="shared" si="0"/>
      </c>
      <c r="T7" s="63">
        <f t="shared" si="1"/>
      </c>
      <c r="U7" s="5">
        <f t="shared" si="2"/>
        <v>1</v>
      </c>
      <c r="V7" s="5" t="s">
        <v>153</v>
      </c>
      <c r="W7" s="5">
        <v>7</v>
      </c>
    </row>
    <row r="8" spans="1:23" ht="30" customHeight="1">
      <c r="A8" s="371">
        <f>'1-2'!A8</f>
        <v>3</v>
      </c>
      <c r="B8" s="372" t="str">
        <f>'1-2'!B8</f>
        <v>2-(1)-ア</v>
      </c>
      <c r="C8" s="373" t="str">
        <f>'1-2'!C8</f>
        <v>教員のコミュニケーション能力向上</v>
      </c>
      <c r="D8" s="264">
        <v>5</v>
      </c>
      <c r="E8" s="315" t="str">
        <f>'2-2'!E8</f>
        <v>消耗需用費</v>
      </c>
      <c r="F8" s="316" t="str">
        <f>'2-2'!F8</f>
        <v>府立人権夏季セミナー資料代</v>
      </c>
      <c r="G8" s="225">
        <f>'2-2'!G8</f>
        <v>2000</v>
      </c>
      <c r="H8" s="317">
        <f>'2-2'!H8</f>
        <v>4</v>
      </c>
      <c r="I8" s="317">
        <f>'2-2'!I8</f>
        <v>1</v>
      </c>
      <c r="J8" s="374">
        <f>'2-2'!J8</f>
        <v>8000</v>
      </c>
      <c r="K8" s="375" t="str">
        <f>'2-2'!K8</f>
        <v>府立人権夏季セミナー資料代</v>
      </c>
      <c r="L8" s="225">
        <f>'2-2'!L8</f>
        <v>2000</v>
      </c>
      <c r="M8" s="317">
        <f>'2-2'!M8</f>
        <v>4</v>
      </c>
      <c r="N8" s="317">
        <f>'2-2'!N8</f>
        <v>1</v>
      </c>
      <c r="O8" s="343">
        <f t="shared" si="3"/>
        <v>8000</v>
      </c>
      <c r="P8" s="376">
        <f>'2-2'!P8</f>
        <v>0</v>
      </c>
      <c r="Q8" s="377" t="b">
        <f>'2-2'!Q8</f>
        <v>0</v>
      </c>
      <c r="R8" s="25">
        <f>IF(AND(ISNA(MATCH($D8,'随時②-2'!$D$4:$D$18,0)),ISNA(MATCH($D8,'随時③-2'!$D$4:$D$18,0))),0,1)</f>
        <v>0</v>
      </c>
      <c r="S8" s="63">
        <f t="shared" si="0"/>
      </c>
      <c r="T8" s="63">
        <f t="shared" si="1"/>
      </c>
      <c r="U8" s="5">
        <f t="shared" si="2"/>
        <v>7</v>
      </c>
      <c r="V8" s="5" t="s">
        <v>154</v>
      </c>
      <c r="W8" s="5">
        <v>3</v>
      </c>
    </row>
    <row r="9" spans="1:23" ht="30" customHeight="1">
      <c r="A9" s="371">
        <f>'1-2'!A9</f>
        <v>4</v>
      </c>
      <c r="B9" s="372" t="str">
        <f>'1-2'!B9</f>
        <v>2-(1)-イ</v>
      </c>
      <c r="C9" s="373" t="str">
        <f>'1-2'!C9</f>
        <v>生徒のコミュニケーション能力向上</v>
      </c>
      <c r="D9" s="255">
        <v>6</v>
      </c>
      <c r="E9" s="315" t="str">
        <f>'2-2'!E9</f>
        <v>報償費</v>
      </c>
      <c r="F9" s="316" t="str">
        <f>'2-2'!F9</f>
        <v>1年思春期講座講師謝礼</v>
      </c>
      <c r="G9" s="225">
        <f>'2-2'!G9</f>
        <v>20000</v>
      </c>
      <c r="H9" s="317">
        <f>'2-2'!H9</f>
        <v>1</v>
      </c>
      <c r="I9" s="317">
        <f>'2-2'!I9</f>
        <v>1</v>
      </c>
      <c r="J9" s="374">
        <f>'2-2'!J9</f>
        <v>20000</v>
      </c>
      <c r="K9" s="375" t="str">
        <f>'2-2'!K9</f>
        <v>1年思春期講座講師謝礼</v>
      </c>
      <c r="L9" s="225">
        <f>'2-2'!L9</f>
        <v>20000</v>
      </c>
      <c r="M9" s="317">
        <f>'2-2'!M9</f>
        <v>1</v>
      </c>
      <c r="N9" s="317">
        <f>'2-2'!N9</f>
        <v>1</v>
      </c>
      <c r="O9" s="343">
        <f t="shared" si="3"/>
        <v>20000</v>
      </c>
      <c r="P9" s="376">
        <f>'2-2'!P9</f>
        <v>0</v>
      </c>
      <c r="Q9" s="377">
        <f>'2-2'!Q9</f>
        <v>0</v>
      </c>
      <c r="R9" s="25">
        <f>IF(AND(ISNA(MATCH($D9,'随時②-2'!$D$4:$D$18,0)),ISNA(MATCH($D9,'随時③-2'!$D$4:$D$18,0))),0,1)</f>
        <v>0</v>
      </c>
      <c r="S9" s="63">
        <f t="shared" si="0"/>
      </c>
      <c r="T9" s="63">
        <f t="shared" si="1"/>
      </c>
      <c r="U9" s="5">
        <f t="shared" si="2"/>
        <v>1</v>
      </c>
      <c r="V9" s="5" t="s">
        <v>155</v>
      </c>
      <c r="W9" s="5">
        <v>8</v>
      </c>
    </row>
    <row r="10" spans="1:23" ht="30" customHeight="1">
      <c r="A10" s="371">
        <f>'1-2'!A10</f>
        <v>5</v>
      </c>
      <c r="B10" s="372" t="str">
        <f>'1-2'!B10</f>
        <v>2-(1)-エ</v>
      </c>
      <c r="C10" s="373" t="str">
        <f>'1-2'!C10</f>
        <v>コミュニケーションコース授業の充実</v>
      </c>
      <c r="D10" s="255">
        <v>7</v>
      </c>
      <c r="E10" s="315" t="str">
        <f>'2-2'!E10</f>
        <v>報償費</v>
      </c>
      <c r="F10" s="316" t="str">
        <f>'2-2'!F10</f>
        <v>「コミュニケーション総合」講師謝礼</v>
      </c>
      <c r="G10" s="225">
        <f>'2-2'!G10</f>
        <v>50000</v>
      </c>
      <c r="H10" s="317">
        <f>'2-2'!H10</f>
        <v>1</v>
      </c>
      <c r="I10" s="317">
        <f>'2-2'!I10</f>
        <v>1</v>
      </c>
      <c r="J10" s="374">
        <f>'2-2'!J10</f>
        <v>50000</v>
      </c>
      <c r="K10" s="375" t="str">
        <f>'2-2'!K10</f>
        <v>「コミュニケーション総合」講師謝礼</v>
      </c>
      <c r="L10" s="225">
        <f>'2-2'!L10</f>
        <v>50000</v>
      </c>
      <c r="M10" s="317">
        <f>'2-2'!M10</f>
        <v>1</v>
      </c>
      <c r="N10" s="317">
        <f>'2-2'!N10</f>
        <v>1</v>
      </c>
      <c r="O10" s="343">
        <f t="shared" si="3"/>
        <v>50000</v>
      </c>
      <c r="P10" s="376">
        <f>'2-2'!P10</f>
        <v>0</v>
      </c>
      <c r="Q10" s="377">
        <f>'2-2'!Q10</f>
        <v>0</v>
      </c>
      <c r="R10" s="25">
        <f>IF(AND(ISNA(MATCH($D10,'随時②-2'!$D$4:$D$18,0)),ISNA(MATCH($D10,'随時③-2'!$D$4:$D$18,0))),0,1)</f>
        <v>0</v>
      </c>
      <c r="S10" s="63">
        <f t="shared" si="0"/>
      </c>
      <c r="T10" s="63">
        <f t="shared" si="1"/>
      </c>
      <c r="U10" s="5">
        <f t="shared" si="2"/>
        <v>1</v>
      </c>
      <c r="V10" s="5" t="s">
        <v>159</v>
      </c>
      <c r="W10" s="5">
        <v>9</v>
      </c>
    </row>
    <row r="11" spans="1:23" ht="30" customHeight="1">
      <c r="A11" s="371">
        <f>'1-2'!A11</f>
        <v>5</v>
      </c>
      <c r="B11" s="372" t="str">
        <f>'1-2'!B11</f>
        <v>2-(1)-エ</v>
      </c>
      <c r="C11" s="373" t="str">
        <f>'1-2'!C11</f>
        <v>コミュニケーションコース授業の充実</v>
      </c>
      <c r="D11" s="264">
        <v>8</v>
      </c>
      <c r="E11" s="315" t="str">
        <f>'2-2'!E11</f>
        <v>報償費</v>
      </c>
      <c r="F11" s="316" t="str">
        <f>'2-2'!F11</f>
        <v>「コミュニケーション総合」講師謝礼</v>
      </c>
      <c r="G11" s="225">
        <f>'2-2'!G11</f>
        <v>20000</v>
      </c>
      <c r="H11" s="317">
        <f>'2-2'!H11</f>
        <v>1</v>
      </c>
      <c r="I11" s="317">
        <f>'2-2'!I11</f>
        <v>1</v>
      </c>
      <c r="J11" s="374">
        <f>'2-2'!J11</f>
        <v>20000</v>
      </c>
      <c r="K11" s="375" t="str">
        <f>'2-2'!K11</f>
        <v>「コミュニケーション総合」講師謝礼</v>
      </c>
      <c r="L11" s="225">
        <f>'2-2'!L11</f>
        <v>20000</v>
      </c>
      <c r="M11" s="317">
        <f>'2-2'!M11</f>
        <v>1</v>
      </c>
      <c r="N11" s="317">
        <f>'2-2'!N11</f>
        <v>1</v>
      </c>
      <c r="O11" s="343">
        <f t="shared" si="3"/>
        <v>20000</v>
      </c>
      <c r="P11" s="376">
        <f>'2-2'!P11</f>
        <v>0</v>
      </c>
      <c r="Q11" s="377" t="str">
        <f>'2-2'!Q11</f>
        <v>未執行ですが8月29日実施</v>
      </c>
      <c r="R11" s="25">
        <f>IF(AND(ISNA(MATCH($D11,'随時②-2'!$D$4:$D$18,0)),ISNA(MATCH($D11,'随時③-2'!$D$4:$D$18,0))),0,1)</f>
        <v>0</v>
      </c>
      <c r="S11" s="63">
        <f t="shared" si="0"/>
      </c>
      <c r="T11" s="63">
        <f t="shared" si="1"/>
      </c>
      <c r="U11" s="5">
        <f t="shared" si="2"/>
        <v>1</v>
      </c>
      <c r="V11" s="5" t="s">
        <v>156</v>
      </c>
      <c r="W11" s="5">
        <v>1</v>
      </c>
    </row>
    <row r="12" spans="1:23" ht="30" customHeight="1">
      <c r="A12" s="371">
        <f>'1-2'!A12</f>
        <v>5</v>
      </c>
      <c r="B12" s="372" t="str">
        <f>'1-2'!B12</f>
        <v>2-(1)-エ</v>
      </c>
      <c r="C12" s="373" t="str">
        <f>'1-2'!C12</f>
        <v>コミュニケーションコース授業の充実</v>
      </c>
      <c r="D12" s="264">
        <v>9</v>
      </c>
      <c r="E12" s="315" t="str">
        <f>'2-2'!E12</f>
        <v>報償費</v>
      </c>
      <c r="F12" s="316" t="str">
        <f>'2-2'!F12</f>
        <v>「コミュニケーション総合」講師謝礼</v>
      </c>
      <c r="G12" s="225">
        <f>'2-2'!G12</f>
        <v>14000</v>
      </c>
      <c r="H12" s="317">
        <f>'2-2'!H12</f>
        <v>1</v>
      </c>
      <c r="I12" s="317">
        <f>'2-2'!I12</f>
        <v>1</v>
      </c>
      <c r="J12" s="374">
        <f>'2-2'!J12</f>
        <v>14000</v>
      </c>
      <c r="K12" s="375" t="str">
        <f>'2-2'!K12</f>
        <v>「コミュニケーション総合」講師謝礼</v>
      </c>
      <c r="L12" s="225">
        <f>'2-2'!L12</f>
        <v>14000</v>
      </c>
      <c r="M12" s="317">
        <f>'2-2'!M12</f>
        <v>1</v>
      </c>
      <c r="N12" s="317">
        <f>'2-2'!N12</f>
        <v>1</v>
      </c>
      <c r="O12" s="343">
        <f t="shared" si="3"/>
        <v>14000</v>
      </c>
      <c r="P12" s="376">
        <f>'2-2'!P12</f>
        <v>0</v>
      </c>
      <c r="Q12" s="377" t="str">
        <f>'2-2'!Q12</f>
        <v>未執行ですが9月12日実施</v>
      </c>
      <c r="R12" s="25">
        <f>IF(AND(ISNA(MATCH($D12,'随時②-2'!$D$4:$D$18,0)),ISNA(MATCH($D12,'随時③-2'!$D$4:$D$18,0))),0,1)</f>
        <v>0</v>
      </c>
      <c r="S12" s="63">
        <f t="shared" si="0"/>
      </c>
      <c r="T12" s="63">
        <f t="shared" si="1"/>
      </c>
      <c r="U12" s="5">
        <f t="shared" si="2"/>
        <v>1</v>
      </c>
      <c r="V12" s="5" t="s">
        <v>157</v>
      </c>
      <c r="W12" s="5">
        <v>5</v>
      </c>
    </row>
    <row r="13" spans="1:23" ht="30" customHeight="1">
      <c r="A13" s="371">
        <f>'1-2'!A13</f>
        <v>6</v>
      </c>
      <c r="B13" s="372" t="str">
        <f>'1-2'!B13</f>
        <v>2-(1)-オ</v>
      </c>
      <c r="C13" s="373" t="str">
        <f>'1-2'!C13</f>
        <v>英語によるコミュニケーションの力向上</v>
      </c>
      <c r="D13" s="274">
        <v>10</v>
      </c>
      <c r="E13" s="315" t="str">
        <f>'2-2'!E13</f>
        <v>消耗需用費</v>
      </c>
      <c r="F13" s="316" t="str">
        <f>'2-2'!F13</f>
        <v>International Day 開催経費</v>
      </c>
      <c r="G13" s="225">
        <f>'2-2'!G13</f>
        <v>15000</v>
      </c>
      <c r="H13" s="317">
        <f>'2-2'!H13</f>
        <v>1</v>
      </c>
      <c r="I13" s="317">
        <f>'2-2'!I13</f>
        <v>1</v>
      </c>
      <c r="J13" s="374">
        <f>'2-2'!J13</f>
        <v>15000</v>
      </c>
      <c r="K13" s="375" t="str">
        <f>'2-2'!K13</f>
        <v>International Day 開催経費</v>
      </c>
      <c r="L13" s="225">
        <f>'2-2'!L13</f>
        <v>0</v>
      </c>
      <c r="M13" s="317">
        <f>'2-2'!M13</f>
        <v>1</v>
      </c>
      <c r="N13" s="317">
        <f>'2-2'!N13</f>
        <v>1</v>
      </c>
      <c r="O13" s="343">
        <f t="shared" si="3"/>
        <v>0</v>
      </c>
      <c r="P13" s="376">
        <f>'2-2'!P13</f>
        <v>0</v>
      </c>
      <c r="Q13" s="377">
        <f>'2-2'!Q13</f>
        <v>0</v>
      </c>
      <c r="R13" s="25">
        <f>IF(AND(ISNA(MATCH($D13,'随時②-2'!$D$4:$D$18,0)),ISNA(MATCH($D13,'随時③-2'!$D$4:$D$18,0))),0,1)</f>
        <v>0</v>
      </c>
      <c r="S13" s="63">
        <f t="shared" si="0"/>
      </c>
      <c r="T13" s="63">
        <f t="shared" si="1"/>
      </c>
      <c r="U13" s="5">
        <f t="shared" si="2"/>
        <v>7</v>
      </c>
      <c r="V13" s="5" t="s">
        <v>158</v>
      </c>
      <c r="W13" s="5">
        <v>2</v>
      </c>
    </row>
    <row r="14" spans="1:21" ht="30" customHeight="1">
      <c r="A14" s="371">
        <f>'1-2'!A14</f>
        <v>0</v>
      </c>
      <c r="B14" s="372">
        <f>'1-2'!B14</f>
        <v>0</v>
      </c>
      <c r="C14" s="373">
        <f>'1-2'!C14</f>
        <v>0</v>
      </c>
      <c r="D14" s="255">
        <v>11</v>
      </c>
      <c r="E14" s="315" t="str">
        <f>'2-2'!E14</f>
        <v>旅費</v>
      </c>
      <c r="F14" s="316" t="str">
        <f>'2-2'!F14</f>
        <v>全国校長協会総会</v>
      </c>
      <c r="G14" s="225">
        <f>'2-2'!G14</f>
        <v>50000</v>
      </c>
      <c r="H14" s="317">
        <f>'2-2'!H14</f>
        <v>1</v>
      </c>
      <c r="I14" s="317">
        <f>'2-2'!I14</f>
        <v>1</v>
      </c>
      <c r="J14" s="374">
        <f>'2-2'!J14</f>
        <v>50000</v>
      </c>
      <c r="K14" s="375" t="str">
        <f>'2-2'!K14</f>
        <v>全国校長協会総会</v>
      </c>
      <c r="L14" s="225">
        <f>'2-2'!L14</f>
        <v>47380</v>
      </c>
      <c r="M14" s="317">
        <f>'2-2'!M14</f>
        <v>1</v>
      </c>
      <c r="N14" s="317">
        <f>'2-2'!N14</f>
        <v>1</v>
      </c>
      <c r="O14" s="343">
        <f t="shared" si="3"/>
        <v>47380</v>
      </c>
      <c r="P14" s="376">
        <f>'2-2'!P14</f>
        <v>0</v>
      </c>
      <c r="Q14" s="377">
        <f>'2-2'!Q14</f>
        <v>0</v>
      </c>
      <c r="R14" s="25">
        <f>IF(AND(ISNA(MATCH($D14,'随時②-2'!$D$4:$D$18,0)),ISNA(MATCH($D14,'随時③-2'!$D$4:$D$18,0))),0,1)</f>
        <v>0</v>
      </c>
      <c r="S14" s="63">
        <f t="shared" si="0"/>
      </c>
      <c r="T14" s="63">
        <f t="shared" si="1"/>
      </c>
      <c r="U14" s="5">
        <f t="shared" si="2"/>
        <v>2</v>
      </c>
    </row>
    <row r="15" spans="1:21" ht="30" customHeight="1">
      <c r="A15" s="371">
        <f>'1-2'!A15</f>
        <v>0</v>
      </c>
      <c r="B15" s="372">
        <f>'1-2'!B15</f>
        <v>0</v>
      </c>
      <c r="C15" s="373">
        <f>'1-2'!C15</f>
        <v>0</v>
      </c>
      <c r="D15" s="255">
        <v>12</v>
      </c>
      <c r="E15" s="315" t="str">
        <f>'2-2'!E15</f>
        <v>消耗需用費</v>
      </c>
      <c r="F15" s="316" t="str">
        <f>'2-2'!F15</f>
        <v>全国校長協会総会資料代</v>
      </c>
      <c r="G15" s="225">
        <f>'2-2'!G15</f>
        <v>3000</v>
      </c>
      <c r="H15" s="317">
        <f>'2-2'!H15</f>
        <v>1</v>
      </c>
      <c r="I15" s="317">
        <f>'2-2'!I15</f>
        <v>1</v>
      </c>
      <c r="J15" s="374">
        <f>'2-2'!J15</f>
        <v>3000</v>
      </c>
      <c r="K15" s="375" t="str">
        <f>'2-2'!K15</f>
        <v>全国校長協会総会資料代</v>
      </c>
      <c r="L15" s="225">
        <f>'2-2'!L15</f>
        <v>3000</v>
      </c>
      <c r="M15" s="317">
        <f>'2-2'!M15</f>
        <v>1</v>
      </c>
      <c r="N15" s="317">
        <f>'2-2'!N15</f>
        <v>1</v>
      </c>
      <c r="O15" s="343">
        <f t="shared" si="3"/>
        <v>3000</v>
      </c>
      <c r="P15" s="376">
        <f>'2-2'!P15</f>
        <v>0</v>
      </c>
      <c r="Q15" s="377">
        <f>'2-2'!Q15</f>
        <v>0</v>
      </c>
      <c r="R15" s="25">
        <f>IF(AND(ISNA(MATCH($D15,'随時②-2'!$D$4:$D$18,0)),ISNA(MATCH($D15,'随時③-2'!$D$4:$D$18,0))),0,1)</f>
        <v>0</v>
      </c>
      <c r="S15" s="63">
        <f t="shared" si="0"/>
      </c>
      <c r="T15" s="63">
        <f t="shared" si="1"/>
      </c>
      <c r="U15" s="5">
        <f t="shared" si="2"/>
        <v>7</v>
      </c>
    </row>
    <row r="16" spans="1:21" ht="30" customHeight="1">
      <c r="A16" s="371">
        <f>'1-2'!A16</f>
        <v>0</v>
      </c>
      <c r="B16" s="372">
        <f>'1-2'!B16</f>
        <v>0</v>
      </c>
      <c r="C16" s="373">
        <f>'1-2'!C16</f>
        <v>0</v>
      </c>
      <c r="D16" s="255">
        <v>13</v>
      </c>
      <c r="E16" s="315" t="str">
        <f>'2-2'!E16</f>
        <v>負担金、補助及び交付金</v>
      </c>
      <c r="F16" s="316" t="str">
        <f>'2-2'!F16</f>
        <v>全国校長協会総会参加費</v>
      </c>
      <c r="G16" s="225">
        <f>'2-2'!G16</f>
        <v>2000</v>
      </c>
      <c r="H16" s="317">
        <f>'2-2'!H16</f>
        <v>1</v>
      </c>
      <c r="I16" s="317">
        <f>'2-2'!I16</f>
        <v>1</v>
      </c>
      <c r="J16" s="374">
        <f>'2-2'!J16</f>
        <v>2000</v>
      </c>
      <c r="K16" s="375" t="str">
        <f>'2-2'!K16</f>
        <v>全国校長協会総会参加費</v>
      </c>
      <c r="L16" s="225">
        <f>'2-2'!L16</f>
        <v>2000</v>
      </c>
      <c r="M16" s="317">
        <f>'2-2'!M16</f>
        <v>1</v>
      </c>
      <c r="N16" s="317">
        <f>'2-2'!N16</f>
        <v>1</v>
      </c>
      <c r="O16" s="343">
        <f t="shared" si="3"/>
        <v>2000</v>
      </c>
      <c r="P16" s="376">
        <f>'2-2'!P16</f>
        <v>0</v>
      </c>
      <c r="Q16" s="377">
        <f>'2-2'!Q16</f>
        <v>0</v>
      </c>
      <c r="R16" s="25">
        <f>IF(AND(ISNA(MATCH($D16,'随時②-2'!$D$4:$D$18,0)),ISNA(MATCH($D16,'随時③-2'!$D$4:$D$18,0))),0,1)</f>
        <v>0</v>
      </c>
      <c r="S16" s="63">
        <f t="shared" si="0"/>
      </c>
      <c r="T16" s="63">
        <f t="shared" si="1"/>
      </c>
      <c r="U16" s="5">
        <f t="shared" si="2"/>
        <v>9</v>
      </c>
    </row>
    <row r="17" spans="1:21" ht="30" customHeight="1">
      <c r="A17" s="371">
        <f>'1-2'!A17</f>
        <v>0</v>
      </c>
      <c r="B17" s="372">
        <f>'1-2'!B17</f>
        <v>0</v>
      </c>
      <c r="C17" s="373">
        <f>'1-2'!C17</f>
        <v>0</v>
      </c>
      <c r="D17" s="255">
        <v>14</v>
      </c>
      <c r="E17" s="315" t="str">
        <f>'2-2'!E17</f>
        <v>旅費</v>
      </c>
      <c r="F17" s="316" t="str">
        <f>'2-2'!F17</f>
        <v>全国公立学校事務長会研究協議会並びに総会</v>
      </c>
      <c r="G17" s="225">
        <f>'2-2'!G17</f>
        <v>40000</v>
      </c>
      <c r="H17" s="317">
        <f>'2-2'!H17</f>
        <v>1</v>
      </c>
      <c r="I17" s="317">
        <f>'2-2'!I17</f>
        <v>1</v>
      </c>
      <c r="J17" s="374">
        <f>'2-2'!J17</f>
        <v>40000</v>
      </c>
      <c r="K17" s="375" t="str">
        <f>'2-2'!K17</f>
        <v>全国公立学校事務長会研究協議会並びに総会</v>
      </c>
      <c r="L17" s="225">
        <f>'2-2'!L17</f>
        <v>38760</v>
      </c>
      <c r="M17" s="317">
        <f>'2-2'!M17</f>
        <v>1</v>
      </c>
      <c r="N17" s="317">
        <f>'2-2'!N17</f>
        <v>1</v>
      </c>
      <c r="O17" s="343">
        <f t="shared" si="3"/>
        <v>38760</v>
      </c>
      <c r="P17" s="376">
        <f>'2-2'!P17</f>
        <v>0</v>
      </c>
      <c r="Q17" s="377">
        <f>'2-2'!Q17</f>
        <v>0</v>
      </c>
      <c r="R17" s="25">
        <f>IF(AND(ISNA(MATCH($D17,'随時②-2'!$D$4:$D$18,0)),ISNA(MATCH($D17,'随時③-2'!$D$4:$D$18,0))),0,1)</f>
        <v>0</v>
      </c>
      <c r="S17" s="63">
        <f t="shared" si="0"/>
      </c>
      <c r="T17" s="63">
        <f t="shared" si="1"/>
      </c>
      <c r="U17" s="5">
        <f t="shared" si="2"/>
        <v>2</v>
      </c>
    </row>
    <row r="18" spans="1:21" ht="30" customHeight="1">
      <c r="A18" s="371">
        <f>'随時①-2'!A4</f>
        <v>5</v>
      </c>
      <c r="B18" s="372" t="str">
        <f>'随時①-2'!B4</f>
        <v>2-(1)-エ</v>
      </c>
      <c r="C18" s="373" t="str">
        <f>'随時①-2'!C4</f>
        <v>コミュニケーションコース授業の充実</v>
      </c>
      <c r="D18" s="264">
        <v>101</v>
      </c>
      <c r="E18" s="316" t="str">
        <f>'2-2'!E104</f>
        <v>報償費</v>
      </c>
      <c r="F18" s="316" t="str">
        <f>'2-2'!F104</f>
        <v>「コミュニケーション総合」講師謝礼</v>
      </c>
      <c r="G18" s="225">
        <f>'2-2'!G104</f>
        <v>50000</v>
      </c>
      <c r="H18" s="317">
        <f>'2-2'!H104</f>
        <v>1</v>
      </c>
      <c r="I18" s="317">
        <f>'2-2'!I104</f>
        <v>1</v>
      </c>
      <c r="J18" s="374">
        <f>'2-2'!J104</f>
        <v>50000</v>
      </c>
      <c r="K18" s="375" t="str">
        <f>'2-2'!K104</f>
        <v>「コミュニケーション総合」講師謝礼</v>
      </c>
      <c r="L18" s="225">
        <f>'2-2'!L104</f>
        <v>50000</v>
      </c>
      <c r="M18" s="317">
        <f>'2-2'!M104</f>
        <v>1</v>
      </c>
      <c r="N18" s="317">
        <f>'2-2'!N104</f>
        <v>1</v>
      </c>
      <c r="O18" s="343">
        <f aca="true" t="shared" si="4" ref="O18:O28">L18*M18*N18</f>
        <v>50000</v>
      </c>
      <c r="P18" s="376">
        <f>'2-2'!P104</f>
        <v>0</v>
      </c>
      <c r="Q18" s="377" t="str">
        <f>'2-2'!Q104</f>
        <v>5月30日までに配当希望</v>
      </c>
      <c r="R18" s="25">
        <f>IF(AND(ISNA(MATCH($D18,'随時②-2'!$D$4:$D$18,0)),ISNA(MATCH($D18,'随時③-2'!$D$4:$D$18,0))),0,1)</f>
        <v>0</v>
      </c>
      <c r="S18" s="63">
        <f aca="true" t="shared" si="5" ref="S18:S28">IF(P18="◎",J18,"")</f>
      </c>
      <c r="T18" s="63">
        <f aca="true" t="shared" si="6" ref="T18:T28">IF(P18="◎",O18,"")</f>
      </c>
      <c r="U18" s="5">
        <f aca="true" t="shared" si="7" ref="U18:U28">IF($E18=0,"",VLOOKUP($E18,$V$5:$X$13,2))</f>
        <v>1</v>
      </c>
    </row>
    <row r="19" spans="1:21" ht="30" customHeight="1">
      <c r="A19" s="371">
        <f>'随時①-2'!A5</f>
        <v>5</v>
      </c>
      <c r="B19" s="372" t="str">
        <f>'随時①-2'!B5</f>
        <v>2-(1)-エ</v>
      </c>
      <c r="C19" s="373" t="str">
        <f>'随時①-2'!C5</f>
        <v>コミュニケーションコース授業の充実</v>
      </c>
      <c r="D19" s="255">
        <v>102</v>
      </c>
      <c r="E19" s="315" t="str">
        <f>'2-2'!E105</f>
        <v>消耗需用費</v>
      </c>
      <c r="F19" s="315" t="str">
        <f>'2-2'!F105</f>
        <v>落語家用座布団</v>
      </c>
      <c r="G19" s="322">
        <f>'2-2'!G105</f>
        <v>7000</v>
      </c>
      <c r="H19" s="323">
        <f>'2-2'!H105</f>
        <v>1</v>
      </c>
      <c r="I19" s="323">
        <f>'2-2'!I105</f>
        <v>1</v>
      </c>
      <c r="J19" s="381">
        <f>'2-2'!J105</f>
        <v>7000</v>
      </c>
      <c r="K19" s="375" t="str">
        <f>'2-2'!K105</f>
        <v>落語家用座布団</v>
      </c>
      <c r="L19" s="225">
        <f>'2-2'!L105</f>
        <v>4698</v>
      </c>
      <c r="M19" s="317">
        <f>'2-2'!M105</f>
        <v>1</v>
      </c>
      <c r="N19" s="317">
        <f>'2-2'!N105</f>
        <v>1</v>
      </c>
      <c r="O19" s="310">
        <f t="shared" si="4"/>
        <v>4698</v>
      </c>
      <c r="P19" s="376">
        <f>'2-2'!P105</f>
        <v>0</v>
      </c>
      <c r="Q19" s="377" t="str">
        <f>'2-2'!Q105</f>
        <v>5月30日までに配当希望</v>
      </c>
      <c r="R19" s="25">
        <f>IF(AND(ISNA(MATCH($D19,'随時②-2'!$D$4:$D$18,0)),ISNA(MATCH($D19,'随時③-2'!$D$4:$D$18,0))),0,1)</f>
        <v>0</v>
      </c>
      <c r="S19" s="63">
        <f t="shared" si="5"/>
      </c>
      <c r="T19" s="63">
        <f t="shared" si="6"/>
      </c>
      <c r="U19" s="5">
        <f t="shared" si="7"/>
        <v>7</v>
      </c>
    </row>
    <row r="20" spans="1:21" ht="30" customHeight="1">
      <c r="A20" s="371">
        <f>'随時①-2'!A6</f>
        <v>9</v>
      </c>
      <c r="B20" s="372" t="str">
        <f>'随時①-2'!B6</f>
        <v>3-(2)-イ</v>
      </c>
      <c r="C20" s="373" t="str">
        <f>'随時①-2'!C6</f>
        <v>広報活動の充実</v>
      </c>
      <c r="D20" s="255">
        <v>103</v>
      </c>
      <c r="E20" s="315" t="str">
        <f>'2-2'!E106</f>
        <v>備品購入費</v>
      </c>
      <c r="F20" s="315" t="str">
        <f>'2-2'!F106</f>
        <v>広報活動用モバイルタブレットＰＣ</v>
      </c>
      <c r="G20" s="322">
        <f>'2-2'!G106</f>
        <v>150000</v>
      </c>
      <c r="H20" s="323">
        <f>'2-2'!H106</f>
        <v>1</v>
      </c>
      <c r="I20" s="323">
        <f>'2-2'!I106</f>
        <v>1</v>
      </c>
      <c r="J20" s="381">
        <f>'2-2'!J106</f>
        <v>150000</v>
      </c>
      <c r="K20" s="375" t="str">
        <f>'2-2'!K106</f>
        <v>広報活動用モバイルタブレットＰＣ</v>
      </c>
      <c r="L20" s="225">
        <f>'2-2'!L106</f>
        <v>140292</v>
      </c>
      <c r="M20" s="317">
        <f>'2-2'!M106</f>
        <v>1</v>
      </c>
      <c r="N20" s="317">
        <f>'2-2'!N106</f>
        <v>1</v>
      </c>
      <c r="O20" s="310">
        <f t="shared" si="4"/>
        <v>140292</v>
      </c>
      <c r="P20" s="376">
        <f>'2-2'!P106</f>
        <v>0</v>
      </c>
      <c r="Q20" s="377" t="str">
        <f>'2-2'!Q106</f>
        <v>5月２２日までに配当希望</v>
      </c>
      <c r="R20" s="25">
        <f>IF(AND(ISNA(MATCH($D20,'随時②-2'!$D$4:$D$18,0)),ISNA(MATCH($D20,'随時③-2'!$D$4:$D$18,0))),0,1)</f>
        <v>0</v>
      </c>
      <c r="S20" s="63">
        <f t="shared" si="5"/>
      </c>
      <c r="T20" s="63">
        <f t="shared" si="6"/>
      </c>
      <c r="U20" s="5">
        <f t="shared" si="7"/>
        <v>8</v>
      </c>
    </row>
    <row r="21" spans="1:21" ht="30" customHeight="1">
      <c r="A21" s="371">
        <f>'随時①-2'!A7</f>
        <v>9</v>
      </c>
      <c r="B21" s="372" t="str">
        <f>'随時①-2'!B7</f>
        <v>3-(2)-イ</v>
      </c>
      <c r="C21" s="373" t="str">
        <f>'随時①-2'!C7</f>
        <v>広報活動の充実</v>
      </c>
      <c r="D21" s="255">
        <v>104</v>
      </c>
      <c r="E21" s="315" t="str">
        <f>'2-2'!E107</f>
        <v>消耗需用費</v>
      </c>
      <c r="F21" s="315" t="str">
        <f>'2-2'!F107</f>
        <v>学校紹介ポスター制作</v>
      </c>
      <c r="G21" s="322">
        <f>'2-2'!G107</f>
        <v>80</v>
      </c>
      <c r="H21" s="323">
        <f>'2-2'!H107</f>
        <v>300</v>
      </c>
      <c r="I21" s="323">
        <f>'2-2'!I107</f>
        <v>1</v>
      </c>
      <c r="J21" s="381">
        <f>'2-2'!J107</f>
        <v>24000</v>
      </c>
      <c r="K21" s="375" t="str">
        <f>'2-2'!K107</f>
        <v>学校紹介ポスター制作</v>
      </c>
      <c r="L21" s="225">
        <f>'2-2'!L107</f>
        <v>57.7</v>
      </c>
      <c r="M21" s="317">
        <f>'2-2'!M107</f>
        <v>300</v>
      </c>
      <c r="N21" s="317">
        <f>'2-2'!N107</f>
        <v>1</v>
      </c>
      <c r="O21" s="310">
        <f t="shared" si="4"/>
        <v>17310</v>
      </c>
      <c r="P21" s="376">
        <f>'2-2'!P107</f>
        <v>0</v>
      </c>
      <c r="Q21" s="377" t="str">
        <f>'2-2'!Q107</f>
        <v>5月２２日までに配当希望</v>
      </c>
      <c r="R21" s="25">
        <f>IF(AND(ISNA(MATCH($D21,'随時②-2'!$D$4:$D$18,0)),ISNA(MATCH($D21,'随時③-2'!$D$4:$D$18,0))),0,1)</f>
        <v>0</v>
      </c>
      <c r="S21" s="63">
        <f t="shared" si="5"/>
      </c>
      <c r="T21" s="63">
        <f t="shared" si="6"/>
      </c>
      <c r="U21" s="5">
        <f t="shared" si="7"/>
        <v>7</v>
      </c>
    </row>
    <row r="22" spans="1:21" ht="30" customHeight="1">
      <c r="A22" s="371">
        <f>'随時①-2'!A8</f>
        <v>9</v>
      </c>
      <c r="B22" s="372" t="str">
        <f>'随時①-2'!B8</f>
        <v>3-(2)-イ</v>
      </c>
      <c r="C22" s="373" t="str">
        <f>'随時①-2'!C8</f>
        <v>広報活動の充実</v>
      </c>
      <c r="D22" s="255">
        <v>105</v>
      </c>
      <c r="E22" s="315" t="str">
        <f>'2-2'!E108</f>
        <v>役務費</v>
      </c>
      <c r="F22" s="315" t="str">
        <f>'2-2'!F108</f>
        <v>学校紹介ポスター送料</v>
      </c>
      <c r="G22" s="322">
        <f>'2-2'!G108</f>
        <v>100</v>
      </c>
      <c r="H22" s="323">
        <f>'2-2'!H108</f>
        <v>160</v>
      </c>
      <c r="I22" s="323">
        <f>'2-2'!I108</f>
        <v>1</v>
      </c>
      <c r="J22" s="381">
        <f>'2-2'!J108</f>
        <v>16000</v>
      </c>
      <c r="K22" s="375" t="str">
        <f>'2-2'!K108</f>
        <v>学校紹介ポスター送料</v>
      </c>
      <c r="L22" s="225">
        <f>'2-2'!L108</f>
        <v>82</v>
      </c>
      <c r="M22" s="317">
        <f>'2-2'!M108</f>
        <v>157</v>
      </c>
      <c r="N22" s="317">
        <f>'2-2'!N108</f>
        <v>1</v>
      </c>
      <c r="O22" s="310">
        <f t="shared" si="4"/>
        <v>12874</v>
      </c>
      <c r="P22" s="376">
        <f>'2-2'!P108</f>
        <v>0</v>
      </c>
      <c r="Q22" s="377" t="str">
        <f>'2-2'!Q108</f>
        <v>5月２２日までに配当希望</v>
      </c>
      <c r="R22" s="25">
        <f>IF(AND(ISNA(MATCH($D22,'随時②-2'!$D$4:$D$18,0)),ISNA(MATCH($D22,'随時③-2'!$D$4:$D$18,0))),0,1)</f>
        <v>0</v>
      </c>
      <c r="S22" s="63">
        <f t="shared" si="5"/>
      </c>
      <c r="T22" s="63">
        <f t="shared" si="6"/>
      </c>
      <c r="U22" s="5">
        <f t="shared" si="7"/>
        <v>5</v>
      </c>
    </row>
    <row r="23" spans="1:21" ht="30" customHeight="1">
      <c r="A23" s="371">
        <f>'随時②-2'!A21</f>
        <v>9</v>
      </c>
      <c r="B23" s="372" t="str">
        <f>'随時②-2'!B21</f>
        <v>3-(2)-イ</v>
      </c>
      <c r="C23" s="373" t="str">
        <f>'随時②-2'!C21</f>
        <v>広報活動の充実</v>
      </c>
      <c r="D23" s="264">
        <v>201</v>
      </c>
      <c r="E23" s="316" t="str">
        <f>'2-2'!E124</f>
        <v>消耗需用費</v>
      </c>
      <c r="F23" s="316" t="str">
        <f>'2-2'!F124</f>
        <v>学校紹介チラシ制作</v>
      </c>
      <c r="G23" s="225">
        <f>'2-2'!G124</f>
        <v>5.35</v>
      </c>
      <c r="H23" s="317">
        <f>'2-2'!H124</f>
        <v>2000</v>
      </c>
      <c r="I23" s="317">
        <f>'2-2'!I124</f>
        <v>1</v>
      </c>
      <c r="J23" s="366">
        <f>'2-2'!J124</f>
        <v>10700</v>
      </c>
      <c r="K23" s="382" t="str">
        <f>'2-2'!K124</f>
        <v>学校紹介チラシ制作</v>
      </c>
      <c r="L23" s="304">
        <f>'2-2'!L124</f>
        <v>5.35</v>
      </c>
      <c r="M23" s="305">
        <f>'2-2'!M124</f>
        <v>2000</v>
      </c>
      <c r="N23" s="305">
        <f>'2-2'!N124</f>
        <v>1</v>
      </c>
      <c r="O23" s="368">
        <f t="shared" si="4"/>
        <v>10700</v>
      </c>
      <c r="P23" s="369">
        <f>'2-2'!P124</f>
        <v>0</v>
      </c>
      <c r="Q23" s="370" t="str">
        <f>'2-2'!Q124</f>
        <v>配当済み</v>
      </c>
      <c r="R23" s="25">
        <f>IF(AND(ISNA(MATCH($D23,'随時②-2'!$D$4:$D$18,0)),ISNA(MATCH($D23,'随時③-2'!$D$4:$D$18,0))),0,1)</f>
        <v>0</v>
      </c>
      <c r="S23" s="63">
        <f t="shared" si="5"/>
      </c>
      <c r="T23" s="63">
        <f t="shared" si="6"/>
      </c>
      <c r="U23" s="5">
        <f t="shared" si="7"/>
        <v>7</v>
      </c>
    </row>
    <row r="24" spans="1:21" ht="30" customHeight="1">
      <c r="A24" s="378">
        <f>'随時②-2'!A22</f>
        <v>5</v>
      </c>
      <c r="B24" s="379" t="str">
        <f>'随時②-2'!B22</f>
        <v>2-(1)-ア</v>
      </c>
      <c r="C24" s="380" t="str">
        <f>'随時②-2'!C22</f>
        <v>教員のコミュニケーション能力向上</v>
      </c>
      <c r="D24" s="255">
        <v>202</v>
      </c>
      <c r="E24" s="315" t="str">
        <f>'2-2'!E125</f>
        <v>消耗需用費</v>
      </c>
      <c r="F24" s="315" t="str">
        <f>'2-2'!F125</f>
        <v>府立外教2017年度　夏期研修資料代</v>
      </c>
      <c r="G24" s="322">
        <f>'2-2'!G125</f>
        <v>500</v>
      </c>
      <c r="H24" s="323">
        <f>'2-2'!H125</f>
        <v>1</v>
      </c>
      <c r="I24" s="323">
        <f>'2-2'!I125</f>
        <v>1</v>
      </c>
      <c r="J24" s="381">
        <f>'2-2'!J125</f>
        <v>500</v>
      </c>
      <c r="K24" s="375" t="str">
        <f>'2-2'!K125</f>
        <v>府立外教2017年度　夏期研修資料代</v>
      </c>
      <c r="L24" s="225">
        <f>'2-2'!L125</f>
        <v>500</v>
      </c>
      <c r="M24" s="317">
        <f>'2-2'!M125</f>
        <v>1</v>
      </c>
      <c r="N24" s="317">
        <f>'2-2'!N125</f>
        <v>1</v>
      </c>
      <c r="O24" s="310">
        <f t="shared" si="4"/>
        <v>500</v>
      </c>
      <c r="P24" s="376">
        <f>'2-2'!P125</f>
        <v>0</v>
      </c>
      <c r="Q24" s="377" t="str">
        <f>'2-2'!Q125</f>
        <v>配当済み</v>
      </c>
      <c r="R24" s="25">
        <f>IF(AND(ISNA(MATCH($D24,'随時②-2'!$D$4:$D$18,0)),ISNA(MATCH($D24,'随時③-2'!$D$4:$D$18,0))),0,1)</f>
        <v>0</v>
      </c>
      <c r="S24" s="63">
        <f t="shared" si="5"/>
      </c>
      <c r="T24" s="63">
        <f t="shared" si="6"/>
      </c>
      <c r="U24" s="5">
        <f t="shared" si="7"/>
        <v>7</v>
      </c>
    </row>
    <row r="25" spans="1:21" ht="30" customHeight="1">
      <c r="A25" s="378">
        <f>'随時②-2'!A23</f>
        <v>0</v>
      </c>
      <c r="B25" s="379">
        <f>'随時②-2'!B23</f>
        <v>0</v>
      </c>
      <c r="C25" s="380">
        <f>'随時②-2'!C23</f>
        <v>0</v>
      </c>
      <c r="D25" s="255">
        <v>203</v>
      </c>
      <c r="E25" s="315" t="str">
        <f>'2-2'!E126</f>
        <v>消耗需用費</v>
      </c>
      <c r="F25" s="315" t="str">
        <f>'2-2'!F126</f>
        <v>第41回全国公立学校事務長会研究協議会並びに総会資料代</v>
      </c>
      <c r="G25" s="322">
        <f>'2-2'!G126</f>
        <v>3000</v>
      </c>
      <c r="H25" s="323">
        <f>'2-2'!H126</f>
        <v>1</v>
      </c>
      <c r="I25" s="323">
        <f>'2-2'!I126</f>
        <v>1</v>
      </c>
      <c r="J25" s="381">
        <f>'2-2'!J126</f>
        <v>3000</v>
      </c>
      <c r="K25" s="375" t="str">
        <f>'2-2'!K126</f>
        <v>第41回全国公立学校事務長会研究協議会並びに総会資料代</v>
      </c>
      <c r="L25" s="225">
        <f>'2-2'!L126</f>
        <v>3000</v>
      </c>
      <c r="M25" s="317">
        <f>'2-2'!M126</f>
        <v>1</v>
      </c>
      <c r="N25" s="317">
        <f>'2-2'!N126</f>
        <v>1</v>
      </c>
      <c r="O25" s="310">
        <f t="shared" si="4"/>
        <v>3000</v>
      </c>
      <c r="P25" s="376">
        <f>'2-2'!P126</f>
        <v>0</v>
      </c>
      <c r="Q25" s="377" t="str">
        <f>'2-2'!Q126</f>
        <v>配当済み</v>
      </c>
      <c r="R25" s="25">
        <f>IF(AND(ISNA(MATCH($D25,'随時②-2'!$D$4:$D$18,0)),ISNA(MATCH($D25,'随時③-2'!$D$4:$D$18,0))),0,1)</f>
        <v>0</v>
      </c>
      <c r="S25" s="63">
        <f t="shared" si="5"/>
      </c>
      <c r="T25" s="63">
        <f t="shared" si="6"/>
      </c>
      <c r="U25" s="5">
        <f t="shared" si="7"/>
        <v>7</v>
      </c>
    </row>
    <row r="26" spans="1:21" ht="30" customHeight="1">
      <c r="A26" s="378">
        <f>'随時②-2'!A24</f>
        <v>0</v>
      </c>
      <c r="B26" s="379">
        <f>'随時②-2'!B24</f>
        <v>0</v>
      </c>
      <c r="C26" s="380">
        <f>'随時②-2'!C24</f>
        <v>0</v>
      </c>
      <c r="D26" s="255">
        <v>204</v>
      </c>
      <c r="E26" s="315" t="str">
        <f>'2-2'!E127</f>
        <v>負担金、補助及び交付金</v>
      </c>
      <c r="F26" s="315" t="str">
        <f>'2-2'!F127</f>
        <v>第41回全国公立学校事務長会研究協議会並びに総会参加費</v>
      </c>
      <c r="G26" s="322">
        <f>'2-2'!G127</f>
        <v>2000</v>
      </c>
      <c r="H26" s="323">
        <f>'2-2'!H127</f>
        <v>1</v>
      </c>
      <c r="I26" s="323">
        <f>'2-2'!I127</f>
        <v>1</v>
      </c>
      <c r="J26" s="381">
        <f>'2-2'!J127</f>
        <v>2000</v>
      </c>
      <c r="K26" s="375" t="str">
        <f>'2-2'!K127</f>
        <v>第41回全国公立学校事務長会研究協議会並びに総会参加費</v>
      </c>
      <c r="L26" s="225">
        <f>'2-2'!L127</f>
        <v>2000</v>
      </c>
      <c r="M26" s="317">
        <f>'2-2'!M127</f>
        <v>1</v>
      </c>
      <c r="N26" s="317">
        <f>'2-2'!N127</f>
        <v>1</v>
      </c>
      <c r="O26" s="310">
        <f t="shared" si="4"/>
        <v>2000</v>
      </c>
      <c r="P26" s="376">
        <f>'2-2'!P127</f>
        <v>0</v>
      </c>
      <c r="Q26" s="377" t="str">
        <f>'2-2'!Q127</f>
        <v>配当済み</v>
      </c>
      <c r="R26" s="25">
        <f>IF(AND(ISNA(MATCH($D26,'随時②-2'!$D$4:$D$18,0)),ISNA(MATCH($D26,'随時③-2'!$D$4:$D$18,0))),0,1)</f>
        <v>0</v>
      </c>
      <c r="S26" s="63">
        <f t="shared" si="5"/>
      </c>
      <c r="T26" s="63">
        <f t="shared" si="6"/>
      </c>
      <c r="U26" s="5">
        <f t="shared" si="7"/>
        <v>9</v>
      </c>
    </row>
    <row r="27" spans="1:21" ht="30" customHeight="1">
      <c r="A27" s="378">
        <f>'随時②-2'!A25</f>
        <v>9</v>
      </c>
      <c r="B27" s="379" t="str">
        <f>'随時②-2'!B25</f>
        <v>3-(2)-イ</v>
      </c>
      <c r="C27" s="380" t="str">
        <f>'随時②-2'!C25</f>
        <v>広報活動の充実</v>
      </c>
      <c r="D27" s="255">
        <v>205</v>
      </c>
      <c r="E27" s="315" t="str">
        <f>'2-2'!E128</f>
        <v>役務費</v>
      </c>
      <c r="F27" s="315" t="str">
        <f>'2-2'!F128</f>
        <v>高校進学説明会資料（学校案内）送料</v>
      </c>
      <c r="G27" s="322">
        <f>'2-2'!G128</f>
        <v>972</v>
      </c>
      <c r="H27" s="323">
        <f>'2-2'!H128</f>
        <v>1</v>
      </c>
      <c r="I27" s="323">
        <f>'2-2'!I128</f>
        <v>1</v>
      </c>
      <c r="J27" s="381">
        <f>'2-2'!J128</f>
        <v>972</v>
      </c>
      <c r="K27" s="375" t="str">
        <f>'2-2'!K128</f>
        <v>高校進学説明会資料（学校案内）送料</v>
      </c>
      <c r="L27" s="225">
        <f>'2-2'!L128</f>
        <v>972</v>
      </c>
      <c r="M27" s="317">
        <f>'2-2'!M128</f>
        <v>1</v>
      </c>
      <c r="N27" s="317">
        <f>'2-2'!N128</f>
        <v>1</v>
      </c>
      <c r="O27" s="310">
        <f t="shared" si="4"/>
        <v>972</v>
      </c>
      <c r="P27" s="376">
        <f>'2-2'!P128</f>
        <v>0</v>
      </c>
      <c r="Q27" s="377" t="str">
        <f>'2-2'!Q128</f>
        <v>配当済み</v>
      </c>
      <c r="R27" s="25">
        <f>IF(AND(ISNA(MATCH($D27,'随時②-2'!$D$4:$D$18,0)),ISNA(MATCH($D27,'随時③-2'!$D$4:$D$18,0))),0,1)</f>
        <v>0</v>
      </c>
      <c r="S27" s="63">
        <f t="shared" si="5"/>
      </c>
      <c r="T27" s="63">
        <f t="shared" si="6"/>
      </c>
      <c r="U27" s="5">
        <f t="shared" si="7"/>
        <v>5</v>
      </c>
    </row>
    <row r="28" spans="1:21" ht="30" customHeight="1">
      <c r="A28" s="378">
        <f>'随時②-2'!A26</f>
        <v>9</v>
      </c>
      <c r="B28" s="379" t="str">
        <f>'随時②-2'!B26</f>
        <v>3-(2)-イ</v>
      </c>
      <c r="C28" s="380" t="str">
        <f>'随時②-2'!C26</f>
        <v>広報活動の充実</v>
      </c>
      <c r="D28" s="255">
        <v>206</v>
      </c>
      <c r="E28" s="315" t="str">
        <f>'2-2'!E129</f>
        <v>消耗需用費</v>
      </c>
      <c r="F28" s="315" t="str">
        <f>'2-2'!F129</f>
        <v>広報活動用モバイルタブレットPC付属品</v>
      </c>
      <c r="G28" s="322">
        <f>'2-2'!G129</f>
        <v>4514</v>
      </c>
      <c r="H28" s="323">
        <f>'2-2'!H129</f>
        <v>1</v>
      </c>
      <c r="I28" s="323">
        <f>'2-2'!I129</f>
        <v>1</v>
      </c>
      <c r="J28" s="381">
        <f>'2-2'!J129</f>
        <v>4514</v>
      </c>
      <c r="K28" s="375" t="str">
        <f>'2-2'!K129</f>
        <v>広報活動用モバイルタブレットPC付属品</v>
      </c>
      <c r="L28" s="225">
        <f>'2-2'!L129</f>
        <v>4514</v>
      </c>
      <c r="M28" s="317">
        <f>'2-2'!M129</f>
        <v>1</v>
      </c>
      <c r="N28" s="317">
        <f>'2-2'!N129</f>
        <v>1</v>
      </c>
      <c r="O28" s="310">
        <f t="shared" si="4"/>
        <v>4514</v>
      </c>
      <c r="P28" s="376">
        <f>'2-2'!P129</f>
        <v>0</v>
      </c>
      <c r="Q28" s="377" t="str">
        <f>'2-2'!Q129</f>
        <v>配当済み</v>
      </c>
      <c r="R28" s="25">
        <f>IF(AND(ISNA(MATCH($D28,'随時②-2'!$D$4:$D$18,0)),ISNA(MATCH($D28,'随時③-2'!$D$4:$D$18,0))),0,1)</f>
        <v>0</v>
      </c>
      <c r="S28" s="63">
        <f t="shared" si="5"/>
      </c>
      <c r="T28" s="63">
        <f t="shared" si="6"/>
      </c>
      <c r="U28" s="5">
        <f t="shared" si="7"/>
        <v>7</v>
      </c>
    </row>
    <row r="29" spans="1:20" ht="30" customHeight="1">
      <c r="A29" s="371">
        <f>'2-4'!A4</f>
        <v>0</v>
      </c>
      <c r="B29" s="372">
        <f>'2-4'!B4</f>
        <v>0</v>
      </c>
      <c r="C29" s="373">
        <f>'2-4'!C4</f>
        <v>0</v>
      </c>
      <c r="D29" s="264">
        <v>301</v>
      </c>
      <c r="E29" s="316" t="str">
        <f>IF($R29=1,"",VLOOKUP($D29,'2-4'!$D$4:$L$103,2))</f>
        <v>負担金、補助及び交付金</v>
      </c>
      <c r="F29" s="316" t="str">
        <f>IF($R29=1,"取消し",VLOOKUP($D29,'2-4'!$D$4:$L$103,3))</f>
        <v>各種団体負担金（会費）</v>
      </c>
      <c r="G29" s="225">
        <f>IF($R29=1,,VLOOKUP($D29,'2-4'!$D$4:$L$103,4))</f>
        <v>0</v>
      </c>
      <c r="H29" s="317">
        <f>IF($R29=1,,VLOOKUP($D29,'2-4'!$D$4:$L$103,5))</f>
        <v>0</v>
      </c>
      <c r="I29" s="317">
        <f>IF($R29=1,,VLOOKUP($D29,'2-4'!$D$4:$L$103,6))</f>
        <v>0</v>
      </c>
      <c r="J29" s="225">
        <f>IF($R29=1,,VLOOKUP($D29,'2-4'!$D$4:$L$103,7))</f>
        <v>0</v>
      </c>
      <c r="K29" s="340" t="str">
        <f aca="true" t="shared" si="8" ref="K29:K54">F29</f>
        <v>各種団体負担金（会費）</v>
      </c>
      <c r="L29" s="341">
        <f aca="true" t="shared" si="9" ref="L29:L54">G29</f>
        <v>0</v>
      </c>
      <c r="M29" s="342">
        <f aca="true" t="shared" si="10" ref="M29:M53">H29</f>
        <v>0</v>
      </c>
      <c r="N29" s="342">
        <f aca="true" t="shared" si="11" ref="N29:N54">I29</f>
        <v>0</v>
      </c>
      <c r="O29" s="343">
        <f>L29*M29*N29</f>
        <v>0</v>
      </c>
      <c r="P29" s="383">
        <f>IF($R29=1,"",VLOOKUP($D29,'2-4'!$D$4:$L$103,8))</f>
        <v>0</v>
      </c>
      <c r="Q29" s="280" t="s">
        <v>253</v>
      </c>
      <c r="R29" s="25">
        <f>IF(AND(ISNA(MATCH($D29,'随時②-2'!$D$4:$D$18,0)),ISNA(MATCH($D29,'随時③-2'!$D$4:$D$18,0))),0,1)</f>
        <v>0</v>
      </c>
      <c r="S29" s="63">
        <f aca="true" t="shared" si="12" ref="S29:S54">IF(P29="◎",J29,"")</f>
      </c>
      <c r="T29" s="63">
        <f aca="true" t="shared" si="13" ref="T29:T54">IF(P29="◎",O29,"")</f>
      </c>
    </row>
    <row r="30" spans="1:20" ht="30" customHeight="1">
      <c r="A30" s="378">
        <f>'2-4'!A5</f>
        <v>1</v>
      </c>
      <c r="B30" s="379" t="str">
        <f>'2-4'!B5</f>
        <v>1-(1)-ｲ</v>
      </c>
      <c r="C30" s="380" t="str">
        <f>'2-4'!C5</f>
        <v>ユニバーサルデザイン授業の充実</v>
      </c>
      <c r="D30" s="255">
        <v>302</v>
      </c>
      <c r="E30" s="316" t="str">
        <f>IF($R30=1,"",VLOOKUP($D30,'2-4'!$D$4:$L$103,2))</f>
        <v>報償費</v>
      </c>
      <c r="F30" s="316" t="str">
        <f>IF($R30=1,"取消し",VLOOKUP($D30,'2-4'!$D$4:$L$103,3))</f>
        <v>授業力向上研修講師</v>
      </c>
      <c r="G30" s="225">
        <f>IF($R30=1,,VLOOKUP($D30,'2-4'!$D$4:$L$103,4))</f>
        <v>20000</v>
      </c>
      <c r="H30" s="317">
        <f>IF($R30=1,,VLOOKUP($D30,'2-4'!$D$4:$L$103,5))</f>
        <v>1</v>
      </c>
      <c r="I30" s="317">
        <f>IF($R30=1,,VLOOKUP($D30,'2-4'!$D$4:$L$103,6))</f>
        <v>4</v>
      </c>
      <c r="J30" s="225">
        <f>IF($R30=1,,VLOOKUP($D30,'2-4'!$D$4:$L$103,7))</f>
        <v>80000</v>
      </c>
      <c r="K30" s="319" t="str">
        <f t="shared" si="8"/>
        <v>授業力向上研修講師</v>
      </c>
      <c r="L30" s="320">
        <v>0</v>
      </c>
      <c r="M30" s="321">
        <f t="shared" si="10"/>
        <v>1</v>
      </c>
      <c r="N30" s="321">
        <f t="shared" si="11"/>
        <v>4</v>
      </c>
      <c r="O30" s="310">
        <f aca="true" t="shared" si="14" ref="O30:O54">L30*M30*N30</f>
        <v>0</v>
      </c>
      <c r="P30" s="383">
        <f>IF($R30=1,"",VLOOKUP($D30,'2-4'!$D$4:$L$103,8))</f>
        <v>0</v>
      </c>
      <c r="Q30" s="280">
        <f>IF($R30=1,"",VLOOKUP($D30,'2-4'!$D$4:$L$103,9))</f>
        <v>0</v>
      </c>
      <c r="R30" s="25">
        <f>IF(AND(ISNA(MATCH($D30,'随時②-2'!$D$4:$D$18,0)),ISNA(MATCH($D30,'随時③-2'!$D$4:$D$18,0))),0,1)</f>
        <v>0</v>
      </c>
      <c r="S30" s="63">
        <f t="shared" si="12"/>
      </c>
      <c r="T30" s="63">
        <f t="shared" si="13"/>
      </c>
    </row>
    <row r="31" spans="1:20" ht="30" customHeight="1">
      <c r="A31" s="378">
        <f>'2-4'!A6</f>
        <v>2</v>
      </c>
      <c r="B31" s="379" t="str">
        <f>'2-4'!B6</f>
        <v>1-(1)-ｳ</v>
      </c>
      <c r="C31" s="380" t="str">
        <f>'2-4'!C6</f>
        <v>進路実現</v>
      </c>
      <c r="D31" s="255">
        <v>303</v>
      </c>
      <c r="E31" s="316" t="str">
        <f>IF($R31=1,"",VLOOKUP($D31,'2-4'!$D$4:$L$103,2))</f>
        <v>役務費</v>
      </c>
      <c r="F31" s="316" t="str">
        <f>IF($R31=1,"取消し",VLOOKUP($D31,'2-4'!$D$4:$L$103,3))</f>
        <v>手話通訳謝礼</v>
      </c>
      <c r="G31" s="225">
        <f>IF($R31=1,,VLOOKUP($D31,'2-4'!$D$4:$L$103,4))</f>
        <v>7000</v>
      </c>
      <c r="H31" s="317">
        <f>IF($R31=1,,VLOOKUP($D31,'2-4'!$D$4:$L$103,5))</f>
        <v>1</v>
      </c>
      <c r="I31" s="317">
        <f>IF($R31=1,,VLOOKUP($D31,'2-4'!$D$4:$L$103,6))</f>
        <v>1</v>
      </c>
      <c r="J31" s="225">
        <f>IF($R31=1,,VLOOKUP($D31,'2-4'!$D$4:$L$103,7))</f>
        <v>7000</v>
      </c>
      <c r="K31" s="319" t="str">
        <f t="shared" si="8"/>
        <v>手話通訳謝礼</v>
      </c>
      <c r="L31" s="320">
        <v>0</v>
      </c>
      <c r="M31" s="321">
        <f t="shared" si="10"/>
        <v>1</v>
      </c>
      <c r="N31" s="321">
        <f t="shared" si="11"/>
        <v>1</v>
      </c>
      <c r="O31" s="310">
        <f t="shared" si="14"/>
        <v>0</v>
      </c>
      <c r="P31" s="383">
        <f>IF($R31=1,"",VLOOKUP($D31,'2-4'!$D$4:$L$103,8))</f>
        <v>0</v>
      </c>
      <c r="Q31" s="280">
        <f>IF($R31=1,"",VLOOKUP($D31,'2-4'!$D$4:$L$103,9))</f>
        <v>0</v>
      </c>
      <c r="R31" s="25">
        <f>IF(AND(ISNA(MATCH($D31,'随時②-2'!$D$4:$D$18,0)),ISNA(MATCH($D31,'随時③-2'!$D$4:$D$18,0))),0,1)</f>
        <v>0</v>
      </c>
      <c r="S31" s="63">
        <f t="shared" si="12"/>
      </c>
      <c r="T31" s="63">
        <f t="shared" si="13"/>
      </c>
    </row>
    <row r="32" spans="1:20" ht="30" customHeight="1">
      <c r="A32" s="378">
        <f>'2-4'!A7</f>
        <v>3</v>
      </c>
      <c r="B32" s="379" t="str">
        <f>'2-4'!B7</f>
        <v>2-(1)-ｱ</v>
      </c>
      <c r="C32" s="380" t="str">
        <f>'2-4'!C7</f>
        <v>教員のコミュニケーション能力向上</v>
      </c>
      <c r="D32" s="255">
        <v>304</v>
      </c>
      <c r="E32" s="316" t="str">
        <f>IF($R32=1,"",VLOOKUP($D32,'2-4'!$D$4:$L$103,2))</f>
        <v>報償費</v>
      </c>
      <c r="F32" s="316" t="str">
        <f>IF($R32=1,"取消し",VLOOKUP($D32,'2-4'!$D$4:$L$103,3))</f>
        <v>教職員人権研修講師謝礼</v>
      </c>
      <c r="G32" s="225">
        <f>IF($R32=1,,VLOOKUP($D32,'2-4'!$D$4:$L$103,4))</f>
        <v>20000</v>
      </c>
      <c r="H32" s="317">
        <f>IF($R32=1,,VLOOKUP($D32,'2-4'!$D$4:$L$103,5))</f>
        <v>1</v>
      </c>
      <c r="I32" s="317">
        <f>IF($R32=1,,VLOOKUP($D32,'2-4'!$D$4:$L$103,6))</f>
        <v>1</v>
      </c>
      <c r="J32" s="225">
        <f>IF($R32=1,,VLOOKUP($D32,'2-4'!$D$4:$L$103,7))</f>
        <v>20000</v>
      </c>
      <c r="K32" s="319" t="str">
        <f t="shared" si="8"/>
        <v>教職員人権研修講師謝礼</v>
      </c>
      <c r="L32" s="320">
        <v>0</v>
      </c>
      <c r="M32" s="321">
        <f t="shared" si="10"/>
        <v>1</v>
      </c>
      <c r="N32" s="321">
        <f t="shared" si="11"/>
        <v>1</v>
      </c>
      <c r="O32" s="310">
        <f t="shared" si="14"/>
        <v>0</v>
      </c>
      <c r="P32" s="383">
        <f>IF($R32=1,"",VLOOKUP($D32,'2-4'!$D$4:$L$103,8))</f>
        <v>0</v>
      </c>
      <c r="Q32" s="280">
        <f>IF($R32=1,"",VLOOKUP($D32,'2-4'!$D$4:$L$103,9))</f>
        <v>0</v>
      </c>
      <c r="R32" s="25">
        <f>IF(AND(ISNA(MATCH($D32,'随時②-2'!$D$4:$D$18,0)),ISNA(MATCH($D32,'随時③-2'!$D$4:$D$18,0))),0,1)</f>
        <v>0</v>
      </c>
      <c r="S32" s="63">
        <f t="shared" si="12"/>
      </c>
      <c r="T32" s="63">
        <f t="shared" si="13"/>
      </c>
    </row>
    <row r="33" spans="1:20" ht="30" customHeight="1">
      <c r="A33" s="378">
        <f>'2-4'!A8</f>
        <v>3</v>
      </c>
      <c r="B33" s="379" t="str">
        <f>'2-4'!B8</f>
        <v>2-(1)-ｱ</v>
      </c>
      <c r="C33" s="380" t="str">
        <f>'2-4'!C8</f>
        <v>教員のコミュニケーション能力向上</v>
      </c>
      <c r="D33" s="255">
        <v>305</v>
      </c>
      <c r="E33" s="316" t="str">
        <f>IF($R33=1,"",VLOOKUP($D33,'2-4'!$D$4:$L$103,2))</f>
        <v>負担金、補助及び交付金</v>
      </c>
      <c r="F33" s="316" t="str">
        <f>IF($R33=1,"取消し",VLOOKUP($D33,'2-4'!$D$4:$L$103,3))</f>
        <v>ワークショップ受講料</v>
      </c>
      <c r="G33" s="225">
        <f>IF($R33=1,,VLOOKUP($D33,'2-4'!$D$4:$L$103,4))</f>
        <v>20000</v>
      </c>
      <c r="H33" s="317">
        <f>IF($R33=1,,VLOOKUP($D33,'2-4'!$D$4:$L$103,5))</f>
        <v>2</v>
      </c>
      <c r="I33" s="317">
        <f>IF($R33=1,,VLOOKUP($D33,'2-4'!$D$4:$L$103,6))</f>
        <v>1</v>
      </c>
      <c r="J33" s="225">
        <f>IF($R33=1,,VLOOKUP($D33,'2-4'!$D$4:$L$103,7))</f>
        <v>40000</v>
      </c>
      <c r="K33" s="319" t="str">
        <f t="shared" si="8"/>
        <v>ワークショップ受講料</v>
      </c>
      <c r="L33" s="320">
        <f t="shared" si="9"/>
        <v>20000</v>
      </c>
      <c r="M33" s="321">
        <f t="shared" si="10"/>
        <v>2</v>
      </c>
      <c r="N33" s="321">
        <f t="shared" si="11"/>
        <v>1</v>
      </c>
      <c r="O33" s="310">
        <f t="shared" si="14"/>
        <v>40000</v>
      </c>
      <c r="P33" s="383">
        <f>IF($R33=1,"",VLOOKUP($D33,'2-4'!$D$4:$L$103,8))</f>
        <v>0</v>
      </c>
      <c r="Q33" s="280">
        <f>IF($R33=1,"",VLOOKUP($D33,'2-4'!$D$4:$L$103,9))</f>
        <v>0</v>
      </c>
      <c r="R33" s="25">
        <f>IF(AND(ISNA(MATCH($D33,'随時②-2'!$D$4:$D$18,0)),ISNA(MATCH($D33,'随時③-2'!$D$4:$D$18,0))),0,1)</f>
        <v>0</v>
      </c>
      <c r="S33" s="63">
        <f t="shared" si="12"/>
      </c>
      <c r="T33" s="63">
        <f t="shared" si="13"/>
      </c>
    </row>
    <row r="34" spans="1:20" ht="30" customHeight="1">
      <c r="A34" s="378">
        <f>'2-4'!A9</f>
        <v>4</v>
      </c>
      <c r="B34" s="379" t="str">
        <f>'2-4'!B9</f>
        <v>2-(1)-ｲ</v>
      </c>
      <c r="C34" s="380" t="str">
        <f>'2-4'!C9</f>
        <v>生徒のコミュニケーション能力向上</v>
      </c>
      <c r="D34" s="255">
        <v>306</v>
      </c>
      <c r="E34" s="316" t="str">
        <f>IF($R34=1,"",VLOOKUP($D34,'2-4'!$D$4:$L$103,2))</f>
        <v>報償費</v>
      </c>
      <c r="F34" s="316" t="str">
        <f>IF($R34=1,"取消し",VLOOKUP($D34,'2-4'!$D$4:$L$103,3))</f>
        <v>文化祭演劇講習会講師謝礼</v>
      </c>
      <c r="G34" s="225">
        <f>IF($R34=1,,VLOOKUP($D34,'2-4'!$D$4:$L$103,4))</f>
        <v>3000</v>
      </c>
      <c r="H34" s="317">
        <f>IF($R34=1,,VLOOKUP($D34,'2-4'!$D$4:$L$103,5))</f>
        <v>1</v>
      </c>
      <c r="I34" s="317">
        <f>IF($R34=1,,VLOOKUP($D34,'2-4'!$D$4:$L$103,6))</f>
        <v>8</v>
      </c>
      <c r="J34" s="225">
        <f>IF($R34=1,,VLOOKUP($D34,'2-4'!$D$4:$L$103,7))</f>
        <v>24000</v>
      </c>
      <c r="K34" s="319" t="str">
        <f t="shared" si="8"/>
        <v>文化祭演劇講習会講師謝礼</v>
      </c>
      <c r="L34" s="320">
        <f t="shared" si="9"/>
        <v>3000</v>
      </c>
      <c r="M34" s="321">
        <f t="shared" si="10"/>
        <v>1</v>
      </c>
      <c r="N34" s="321">
        <v>4</v>
      </c>
      <c r="O34" s="310">
        <f t="shared" si="14"/>
        <v>12000</v>
      </c>
      <c r="P34" s="383">
        <f>IF($R34=1,"",VLOOKUP($D34,'2-4'!$D$4:$L$103,8))</f>
        <v>0</v>
      </c>
      <c r="Q34" s="280">
        <f>IF($R34=1,"",VLOOKUP($D34,'2-4'!$D$4:$L$103,9))</f>
        <v>0</v>
      </c>
      <c r="R34" s="25">
        <f>IF(AND(ISNA(MATCH($D34,'随時②-2'!$D$4:$D$18,0)),ISNA(MATCH($D34,'随時③-2'!$D$4:$D$18,0))),0,1)</f>
        <v>0</v>
      </c>
      <c r="S34" s="63">
        <f t="shared" si="12"/>
      </c>
      <c r="T34" s="63">
        <f t="shared" si="13"/>
      </c>
    </row>
    <row r="35" spans="1:20" ht="30" customHeight="1">
      <c r="A35" s="378">
        <f>'2-4'!A10</f>
        <v>5</v>
      </c>
      <c r="B35" s="379" t="str">
        <f>'2-4'!B10</f>
        <v>2-(1)-ｴ</v>
      </c>
      <c r="C35" s="380" t="str">
        <f>'2-4'!C10</f>
        <v>コミュニケーションコース授業の充実</v>
      </c>
      <c r="D35" s="255">
        <v>307</v>
      </c>
      <c r="E35" s="316" t="str">
        <f>IF($R35=1,"",VLOOKUP($D35,'2-4'!$D$4:$L$103,2))</f>
        <v>報償費</v>
      </c>
      <c r="F35" s="316" t="str">
        <f>IF($R35=1,"取消し",VLOOKUP($D35,'2-4'!$D$4:$L$103,3))</f>
        <v>「コミュニケーション総合」講師謝礼</v>
      </c>
      <c r="G35" s="225">
        <f>IF($R35=1,,VLOOKUP($D35,'2-4'!$D$4:$L$103,4))</f>
        <v>50000</v>
      </c>
      <c r="H35" s="317">
        <f>IF($R35=1,,VLOOKUP($D35,'2-4'!$D$4:$L$103,5))</f>
        <v>1</v>
      </c>
      <c r="I35" s="317">
        <f>IF($R35=1,,VLOOKUP($D35,'2-4'!$D$4:$L$103,6))</f>
        <v>1</v>
      </c>
      <c r="J35" s="225">
        <f>IF($R35=1,,VLOOKUP($D35,'2-4'!$D$4:$L$103,7))</f>
        <v>50000</v>
      </c>
      <c r="K35" s="319" t="str">
        <f t="shared" si="8"/>
        <v>「コミュニケーション総合」講師謝礼</v>
      </c>
      <c r="L35" s="320">
        <f t="shared" si="9"/>
        <v>50000</v>
      </c>
      <c r="M35" s="321">
        <f t="shared" si="10"/>
        <v>1</v>
      </c>
      <c r="N35" s="321">
        <f t="shared" si="11"/>
        <v>1</v>
      </c>
      <c r="O35" s="310">
        <f t="shared" si="14"/>
        <v>50000</v>
      </c>
      <c r="P35" s="383">
        <f>IF($R35=1,"",VLOOKUP($D35,'2-4'!$D$4:$L$103,8))</f>
        <v>0</v>
      </c>
      <c r="Q35" s="280">
        <f>IF($R35=1,"",VLOOKUP($D35,'2-4'!$D$4:$L$103,9))</f>
        <v>0</v>
      </c>
      <c r="R35" s="25">
        <f>IF(AND(ISNA(MATCH($D35,'随時②-2'!$D$4:$D$18,0)),ISNA(MATCH($D35,'随時③-2'!$D$4:$D$18,0))),0,1)</f>
        <v>0</v>
      </c>
      <c r="S35" s="63">
        <f t="shared" si="12"/>
      </c>
      <c r="T35" s="63">
        <f t="shared" si="13"/>
      </c>
    </row>
    <row r="36" spans="1:20" ht="30" customHeight="1">
      <c r="A36" s="378">
        <f>'2-4'!A11</f>
        <v>5</v>
      </c>
      <c r="B36" s="379" t="str">
        <f>'2-4'!B11</f>
        <v>2-(1)-ｴ</v>
      </c>
      <c r="C36" s="380" t="str">
        <f>'2-4'!C11</f>
        <v>コミュニケーションコース授業の充実</v>
      </c>
      <c r="D36" s="255">
        <v>308</v>
      </c>
      <c r="E36" s="316" t="str">
        <f>IF($R36=1,"",VLOOKUP($D36,'2-4'!$D$4:$L$103,2))</f>
        <v>報償費</v>
      </c>
      <c r="F36" s="316" t="str">
        <f>IF($R36=1,"取消し",VLOOKUP($D36,'2-4'!$D$4:$L$103,3))</f>
        <v>「コミュニケーション総合」講師謝礼</v>
      </c>
      <c r="G36" s="225">
        <f>IF($R36=1,,VLOOKUP($D36,'2-4'!$D$4:$L$103,4))</f>
        <v>50000</v>
      </c>
      <c r="H36" s="317">
        <f>IF($R36=1,,VLOOKUP($D36,'2-4'!$D$4:$L$103,5))</f>
        <v>1</v>
      </c>
      <c r="I36" s="317">
        <f>IF($R36=1,,VLOOKUP($D36,'2-4'!$D$4:$L$103,6))</f>
        <v>1</v>
      </c>
      <c r="J36" s="225">
        <f>IF($R36=1,,VLOOKUP($D36,'2-4'!$D$4:$L$103,7))</f>
        <v>50000</v>
      </c>
      <c r="K36" s="319" t="str">
        <f t="shared" si="8"/>
        <v>「コミュニケーション総合」講師謝礼</v>
      </c>
      <c r="L36" s="320">
        <f t="shared" si="9"/>
        <v>50000</v>
      </c>
      <c r="M36" s="321">
        <f t="shared" si="10"/>
        <v>1</v>
      </c>
      <c r="N36" s="321">
        <f t="shared" si="11"/>
        <v>1</v>
      </c>
      <c r="O36" s="310">
        <f t="shared" si="14"/>
        <v>50000</v>
      </c>
      <c r="P36" s="383">
        <f>IF($R36=1,"",VLOOKUP($D36,'2-4'!$D$4:$L$103,8))</f>
        <v>0</v>
      </c>
      <c r="Q36" s="280">
        <f>IF($R36=1,"",VLOOKUP($D36,'2-4'!$D$4:$L$103,9))</f>
        <v>0</v>
      </c>
      <c r="R36" s="25">
        <f>IF(AND(ISNA(MATCH($D36,'随時②-2'!$D$4:$D$18,0)),ISNA(MATCH($D36,'随時③-2'!$D$4:$D$18,0))),0,1)</f>
        <v>0</v>
      </c>
      <c r="S36" s="63">
        <f t="shared" si="12"/>
      </c>
      <c r="T36" s="63">
        <f t="shared" si="13"/>
      </c>
    </row>
    <row r="37" spans="1:20" ht="30" customHeight="1">
      <c r="A37" s="378">
        <f>'2-4'!A12</f>
        <v>5</v>
      </c>
      <c r="B37" s="379" t="str">
        <f>'2-4'!B12</f>
        <v>2-(1)-ｴ</v>
      </c>
      <c r="C37" s="380" t="str">
        <f>'2-4'!C12</f>
        <v>コミュニケーションコース授業の充実</v>
      </c>
      <c r="D37" s="255">
        <v>309</v>
      </c>
      <c r="E37" s="316" t="str">
        <f>IF($R37=1,"",VLOOKUP($D37,'2-4'!$D$4:$L$103,2))</f>
        <v>報償費</v>
      </c>
      <c r="F37" s="316" t="str">
        <f>IF($R37=1,"取消し",VLOOKUP($D37,'2-4'!$D$4:$L$103,3))</f>
        <v>「コミュニケーション総合」講師謝礼</v>
      </c>
      <c r="G37" s="225">
        <f>IF($R37=1,,VLOOKUP($D37,'2-4'!$D$4:$L$103,4))</f>
        <v>20000</v>
      </c>
      <c r="H37" s="317">
        <f>IF($R37=1,,VLOOKUP($D37,'2-4'!$D$4:$L$103,5))</f>
        <v>1</v>
      </c>
      <c r="I37" s="317">
        <f>IF($R37=1,,VLOOKUP($D37,'2-4'!$D$4:$L$103,6))</f>
        <v>1</v>
      </c>
      <c r="J37" s="225">
        <f>IF($R37=1,,VLOOKUP($D37,'2-4'!$D$4:$L$103,7))</f>
        <v>20000</v>
      </c>
      <c r="K37" s="319" t="str">
        <f t="shared" si="8"/>
        <v>「コミュニケーション総合」講師謝礼</v>
      </c>
      <c r="L37" s="320">
        <f t="shared" si="9"/>
        <v>20000</v>
      </c>
      <c r="M37" s="321">
        <f t="shared" si="10"/>
        <v>1</v>
      </c>
      <c r="N37" s="321">
        <f t="shared" si="11"/>
        <v>1</v>
      </c>
      <c r="O37" s="310">
        <f t="shared" si="14"/>
        <v>20000</v>
      </c>
      <c r="P37" s="383">
        <f>IF($R37=1,"",VLOOKUP($D37,'2-4'!$D$4:$L$103,8))</f>
        <v>0</v>
      </c>
      <c r="Q37" s="280">
        <f>IF($R37=1,"",VLOOKUP($D37,'2-4'!$D$4:$L$103,9))</f>
        <v>0</v>
      </c>
      <c r="R37" s="25">
        <f>IF(AND(ISNA(MATCH($D37,'随時②-2'!$D$4:$D$18,0)),ISNA(MATCH($D37,'随時③-2'!$D$4:$D$18,0))),0,1)</f>
        <v>0</v>
      </c>
      <c r="S37" s="63">
        <f t="shared" si="12"/>
      </c>
      <c r="T37" s="63">
        <f t="shared" si="13"/>
      </c>
    </row>
    <row r="38" spans="1:20" ht="30" customHeight="1">
      <c r="A38" s="378">
        <f>'2-4'!A13</f>
        <v>5</v>
      </c>
      <c r="B38" s="379" t="str">
        <f>'2-4'!B13</f>
        <v>2-(1)-ｴ</v>
      </c>
      <c r="C38" s="380" t="str">
        <f>'2-4'!C13</f>
        <v>コミュニケーションコース授業の充実</v>
      </c>
      <c r="D38" s="255">
        <v>310</v>
      </c>
      <c r="E38" s="316" t="str">
        <f>IF($R38=1,"",VLOOKUP($D38,'2-4'!$D$4:$L$103,2))</f>
        <v>報償費</v>
      </c>
      <c r="F38" s="316" t="str">
        <f>IF($R38=1,"取消し",VLOOKUP($D38,'2-4'!$D$4:$L$103,3))</f>
        <v>「コミュニケーション総合」講師謝礼</v>
      </c>
      <c r="G38" s="225">
        <f>IF($R38=1,,VLOOKUP($D38,'2-4'!$D$4:$L$103,4))</f>
        <v>16000</v>
      </c>
      <c r="H38" s="317">
        <f>IF($R38=1,,VLOOKUP($D38,'2-4'!$D$4:$L$103,5))</f>
        <v>1</v>
      </c>
      <c r="I38" s="317">
        <f>IF($R38=1,,VLOOKUP($D38,'2-4'!$D$4:$L$103,6))</f>
        <v>1</v>
      </c>
      <c r="J38" s="225">
        <f>IF($R38=1,,VLOOKUP($D38,'2-4'!$D$4:$L$103,7))</f>
        <v>16000</v>
      </c>
      <c r="K38" s="319" t="str">
        <f t="shared" si="8"/>
        <v>「コミュニケーション総合」講師謝礼</v>
      </c>
      <c r="L38" s="320">
        <f t="shared" si="9"/>
        <v>16000</v>
      </c>
      <c r="M38" s="321">
        <f t="shared" si="10"/>
        <v>1</v>
      </c>
      <c r="N38" s="321">
        <f t="shared" si="11"/>
        <v>1</v>
      </c>
      <c r="O38" s="310">
        <f t="shared" si="14"/>
        <v>16000</v>
      </c>
      <c r="P38" s="383">
        <f>IF($R38=1,"",VLOOKUP($D38,'2-4'!$D$4:$L$103,8))</f>
        <v>0</v>
      </c>
      <c r="Q38" s="280">
        <f>IF($R38=1,"",VLOOKUP($D38,'2-4'!$D$4:$L$103,9))</f>
        <v>0</v>
      </c>
      <c r="R38" s="25">
        <f>IF(AND(ISNA(MATCH($D38,'随時②-2'!$D$4:$D$18,0)),ISNA(MATCH($D38,'随時③-2'!$D$4:$D$18,0))),0,1)</f>
        <v>0</v>
      </c>
      <c r="S38" s="63">
        <f t="shared" si="12"/>
      </c>
      <c r="T38" s="63">
        <f t="shared" si="13"/>
      </c>
    </row>
    <row r="39" spans="1:20" ht="30" customHeight="1">
      <c r="A39" s="378">
        <f>'2-4'!A14</f>
        <v>5</v>
      </c>
      <c r="B39" s="379" t="str">
        <f>'2-4'!B14</f>
        <v>2-(1)-ｴ</v>
      </c>
      <c r="C39" s="380" t="str">
        <f>'2-4'!C14</f>
        <v>コミュニケーションコース授業の充実</v>
      </c>
      <c r="D39" s="255">
        <v>311</v>
      </c>
      <c r="E39" s="316" t="str">
        <f>IF($R39=1,"",VLOOKUP($D39,'2-4'!$D$4:$L$103,2))</f>
        <v>報償費</v>
      </c>
      <c r="F39" s="316" t="str">
        <f>IF($R39=1,"取消し",VLOOKUP($D39,'2-4'!$D$4:$L$103,3))</f>
        <v>「コミュニケーション総合」講師謝礼</v>
      </c>
      <c r="G39" s="225">
        <f>IF($R39=1,,VLOOKUP($D39,'2-4'!$D$4:$L$103,4))</f>
        <v>20000</v>
      </c>
      <c r="H39" s="317">
        <f>IF($R39=1,,VLOOKUP($D39,'2-4'!$D$4:$L$103,5))</f>
        <v>1</v>
      </c>
      <c r="I39" s="317">
        <f>IF($R39=1,,VLOOKUP($D39,'2-4'!$D$4:$L$103,6))</f>
        <v>1</v>
      </c>
      <c r="J39" s="225">
        <f>IF($R39=1,,VLOOKUP($D39,'2-4'!$D$4:$L$103,7))</f>
        <v>20000</v>
      </c>
      <c r="K39" s="319" t="str">
        <f t="shared" si="8"/>
        <v>「コミュニケーション総合」講師謝礼</v>
      </c>
      <c r="L39" s="320">
        <f t="shared" si="9"/>
        <v>20000</v>
      </c>
      <c r="M39" s="321">
        <f t="shared" si="10"/>
        <v>1</v>
      </c>
      <c r="N39" s="321">
        <f t="shared" si="11"/>
        <v>1</v>
      </c>
      <c r="O39" s="310">
        <f t="shared" si="14"/>
        <v>20000</v>
      </c>
      <c r="P39" s="383">
        <f>IF($R39=1,"",VLOOKUP($D39,'2-4'!$D$4:$L$103,8))</f>
        <v>0</v>
      </c>
      <c r="Q39" s="280">
        <f>IF($R39=1,"",VLOOKUP($D39,'2-4'!$D$4:$L$103,9))</f>
        <v>0</v>
      </c>
      <c r="R39" s="25">
        <f>IF(AND(ISNA(MATCH($D39,'随時②-2'!$D$4:$D$18,0)),ISNA(MATCH($D39,'随時③-2'!$D$4:$D$18,0))),0,1)</f>
        <v>0</v>
      </c>
      <c r="S39" s="63">
        <f t="shared" si="12"/>
      </c>
      <c r="T39" s="63">
        <f t="shared" si="13"/>
      </c>
    </row>
    <row r="40" spans="1:20" ht="30" customHeight="1">
      <c r="A40" s="378">
        <f>'2-4'!A15</f>
        <v>7</v>
      </c>
      <c r="B40" s="379" t="str">
        <f>'2-4'!B15</f>
        <v>2-(1)-ｷ</v>
      </c>
      <c r="C40" s="380" t="str">
        <f>'2-4'!C15</f>
        <v>部活動の活性化</v>
      </c>
      <c r="D40" s="255">
        <v>312</v>
      </c>
      <c r="E40" s="316" t="str">
        <f>IF($R40=1,"",VLOOKUP($D40,'2-4'!$D$4:$L$103,2))</f>
        <v>報償費</v>
      </c>
      <c r="F40" s="316" t="str">
        <f>IF($R40=1,"取消し",VLOOKUP($D40,'2-4'!$D$4:$L$103,3))</f>
        <v>茶道部指導講師謝礼</v>
      </c>
      <c r="G40" s="225">
        <f>IF($R40=1,,VLOOKUP($D40,'2-4'!$D$4:$L$103,4))</f>
        <v>3000</v>
      </c>
      <c r="H40" s="317">
        <f>IF($R40=1,,VLOOKUP($D40,'2-4'!$D$4:$L$103,5))</f>
        <v>1</v>
      </c>
      <c r="I40" s="317">
        <f>IF($R40=1,,VLOOKUP($D40,'2-4'!$D$4:$L$103,6))</f>
        <v>4</v>
      </c>
      <c r="J40" s="225">
        <f>IF($R40=1,,VLOOKUP($D40,'2-4'!$D$4:$L$103,7))</f>
        <v>12000</v>
      </c>
      <c r="K40" s="319" t="str">
        <f t="shared" si="8"/>
        <v>茶道部指導講師謝礼</v>
      </c>
      <c r="L40" s="320">
        <f t="shared" si="9"/>
        <v>3000</v>
      </c>
      <c r="M40" s="321">
        <f t="shared" si="10"/>
        <v>1</v>
      </c>
      <c r="N40" s="321">
        <v>2</v>
      </c>
      <c r="O40" s="310">
        <f t="shared" si="14"/>
        <v>6000</v>
      </c>
      <c r="P40" s="383">
        <f>IF($R40=1,"",VLOOKUP($D40,'2-4'!$D$4:$L$103,8))</f>
        <v>0</v>
      </c>
      <c r="Q40" s="280">
        <f>IF($R40=1,"",VLOOKUP($D40,'2-4'!$D$4:$L$103,9))</f>
        <v>0</v>
      </c>
      <c r="R40" s="25">
        <f>IF(AND(ISNA(MATCH($D40,'随時②-2'!$D$4:$D$18,0)),ISNA(MATCH($D40,'随時③-2'!$D$4:$D$18,0))),0,1)</f>
        <v>0</v>
      </c>
      <c r="S40" s="63">
        <f t="shared" si="12"/>
      </c>
      <c r="T40" s="63">
        <f t="shared" si="13"/>
      </c>
    </row>
    <row r="41" spans="1:20" ht="30" customHeight="1">
      <c r="A41" s="378">
        <f>'2-4'!A16</f>
        <v>7</v>
      </c>
      <c r="B41" s="379" t="str">
        <f>'2-4'!B16</f>
        <v>2-(1)-ｷ</v>
      </c>
      <c r="C41" s="380" t="str">
        <f>'2-4'!C16</f>
        <v>部活動の活性化</v>
      </c>
      <c r="D41" s="255">
        <v>313</v>
      </c>
      <c r="E41" s="316" t="str">
        <f>IF($R41=1,"",VLOOKUP($D41,'2-4'!$D$4:$L$103,2))</f>
        <v>報償費</v>
      </c>
      <c r="F41" s="316" t="str">
        <f>IF($R41=1,"取消し",VLOOKUP($D41,'2-4'!$D$4:$L$103,3))</f>
        <v>筝曲部指導講師謝礼</v>
      </c>
      <c r="G41" s="225">
        <f>IF($R41=1,,VLOOKUP($D41,'2-4'!$D$4:$L$103,4))</f>
        <v>3000</v>
      </c>
      <c r="H41" s="317">
        <f>IF($R41=1,,VLOOKUP($D41,'2-4'!$D$4:$L$103,5))</f>
        <v>1</v>
      </c>
      <c r="I41" s="317">
        <f>IF($R41=1,,VLOOKUP($D41,'2-4'!$D$4:$L$103,6))</f>
        <v>6</v>
      </c>
      <c r="J41" s="225">
        <f>IF($R41=1,,VLOOKUP($D41,'2-4'!$D$4:$L$103,7))</f>
        <v>18000</v>
      </c>
      <c r="K41" s="319" t="str">
        <f t="shared" si="8"/>
        <v>筝曲部指導講師謝礼</v>
      </c>
      <c r="L41" s="320">
        <f t="shared" si="9"/>
        <v>3000</v>
      </c>
      <c r="M41" s="321">
        <f t="shared" si="10"/>
        <v>1</v>
      </c>
      <c r="N41" s="321">
        <v>4</v>
      </c>
      <c r="O41" s="310">
        <f t="shared" si="14"/>
        <v>12000</v>
      </c>
      <c r="P41" s="383">
        <f>IF($R41=1,"",VLOOKUP($D41,'2-4'!$D$4:$L$103,8))</f>
        <v>0</v>
      </c>
      <c r="Q41" s="280">
        <f>IF($R41=1,"",VLOOKUP($D41,'2-4'!$D$4:$L$103,9))</f>
        <v>0</v>
      </c>
      <c r="R41" s="25">
        <f>IF(AND(ISNA(MATCH($D41,'随時②-2'!$D$4:$D$18,0)),ISNA(MATCH($D41,'随時③-2'!$D$4:$D$18,0))),0,1)</f>
        <v>0</v>
      </c>
      <c r="S41" s="63">
        <f t="shared" si="12"/>
      </c>
      <c r="T41" s="63">
        <f t="shared" si="13"/>
      </c>
    </row>
    <row r="42" spans="1:20" ht="30" customHeight="1">
      <c r="A42" s="378">
        <f>'2-4'!A17</f>
        <v>7</v>
      </c>
      <c r="B42" s="379" t="str">
        <f>'2-4'!B17</f>
        <v>2-(1)-ｷ</v>
      </c>
      <c r="C42" s="380" t="str">
        <f>'2-4'!C17</f>
        <v>部活動の活性化</v>
      </c>
      <c r="D42" s="255">
        <v>314</v>
      </c>
      <c r="E42" s="316" t="str">
        <f>IF($R42=1,"",VLOOKUP($D42,'2-4'!$D$4:$L$103,2))</f>
        <v>報償費</v>
      </c>
      <c r="F42" s="316" t="str">
        <f>IF($R42=1,"取消し",VLOOKUP($D42,'2-4'!$D$4:$L$103,3))</f>
        <v>吹奏楽部指導講師謝礼</v>
      </c>
      <c r="G42" s="225">
        <f>IF($R42=1,,VLOOKUP($D42,'2-4'!$D$4:$L$103,4))</f>
        <v>3000</v>
      </c>
      <c r="H42" s="317">
        <f>IF($R42=1,,VLOOKUP($D42,'2-4'!$D$4:$L$103,5))</f>
        <v>1</v>
      </c>
      <c r="I42" s="317">
        <f>IF($R42=1,,VLOOKUP($D42,'2-4'!$D$4:$L$103,6))</f>
        <v>24</v>
      </c>
      <c r="J42" s="225">
        <f>IF($R42=1,,VLOOKUP($D42,'2-4'!$D$4:$L$103,7))</f>
        <v>72000</v>
      </c>
      <c r="K42" s="319" t="str">
        <f t="shared" si="8"/>
        <v>吹奏楽部指導講師謝礼</v>
      </c>
      <c r="L42" s="320">
        <f t="shared" si="9"/>
        <v>3000</v>
      </c>
      <c r="M42" s="321">
        <f t="shared" si="10"/>
        <v>1</v>
      </c>
      <c r="N42" s="321">
        <f t="shared" si="11"/>
        <v>24</v>
      </c>
      <c r="O42" s="310">
        <f t="shared" si="14"/>
        <v>72000</v>
      </c>
      <c r="P42" s="383">
        <f>IF($R42=1,"",VLOOKUP($D42,'2-4'!$D$4:$L$103,8))</f>
        <v>0</v>
      </c>
      <c r="Q42" s="280">
        <f>IF($R42=1,"",VLOOKUP($D42,'2-4'!$D$4:$L$103,9))</f>
        <v>0</v>
      </c>
      <c r="R42" s="25">
        <f>IF(AND(ISNA(MATCH($D42,'随時②-2'!$D$4:$D$18,0)),ISNA(MATCH($D42,'随時③-2'!$D$4:$D$18,0))),0,1)</f>
        <v>0</v>
      </c>
      <c r="S42" s="63">
        <f t="shared" si="12"/>
      </c>
      <c r="T42" s="63">
        <f t="shared" si="13"/>
      </c>
    </row>
    <row r="43" spans="1:20" ht="30" customHeight="1">
      <c r="A43" s="378">
        <f>'2-4'!A18</f>
        <v>7</v>
      </c>
      <c r="B43" s="379" t="str">
        <f>'2-4'!B18</f>
        <v>2-(1)-ｷ</v>
      </c>
      <c r="C43" s="380" t="str">
        <f>'2-4'!C18</f>
        <v>部活動の活性化</v>
      </c>
      <c r="D43" s="255">
        <v>315</v>
      </c>
      <c r="E43" s="316" t="str">
        <f>IF($R43=1,"",VLOOKUP($D43,'2-4'!$D$4:$L$103,2))</f>
        <v>役務費</v>
      </c>
      <c r="F43" s="316" t="str">
        <f>IF($R43=1,"取消し",VLOOKUP($D43,'2-4'!$D$4:$L$103,3))</f>
        <v>茨田フェスティバル関係運搬費</v>
      </c>
      <c r="G43" s="225">
        <f>IF($R43=1,,VLOOKUP($D43,'2-4'!$D$4:$L$103,4))</f>
        <v>35000</v>
      </c>
      <c r="H43" s="317">
        <f>IF($R43=1,,VLOOKUP($D43,'2-4'!$D$4:$L$103,5))</f>
        <v>1</v>
      </c>
      <c r="I43" s="317">
        <f>IF($R43=1,,VLOOKUP($D43,'2-4'!$D$4:$L$103,6))</f>
        <v>1</v>
      </c>
      <c r="J43" s="225">
        <f>IF($R43=1,,VLOOKUP($D43,'2-4'!$D$4:$L$103,7))</f>
        <v>35000</v>
      </c>
      <c r="K43" s="319" t="str">
        <f t="shared" si="8"/>
        <v>茨田フェスティバル関係運搬費</v>
      </c>
      <c r="L43" s="320">
        <v>32400</v>
      </c>
      <c r="M43" s="321">
        <f t="shared" si="10"/>
        <v>1</v>
      </c>
      <c r="N43" s="321">
        <f t="shared" si="11"/>
        <v>1</v>
      </c>
      <c r="O43" s="310">
        <f t="shared" si="14"/>
        <v>32400</v>
      </c>
      <c r="P43" s="383">
        <f>IF($R43=1,"",VLOOKUP($D43,'2-4'!$D$4:$L$103,8))</f>
        <v>0</v>
      </c>
      <c r="Q43" s="280">
        <f>IF($R43=1,"",VLOOKUP($D43,'2-4'!$D$4:$L$103,9))</f>
        <v>0</v>
      </c>
      <c r="R43" s="25">
        <f>IF(AND(ISNA(MATCH($D43,'随時②-2'!$D$4:$D$18,0)),ISNA(MATCH($D43,'随時③-2'!$D$4:$D$18,0))),0,1)</f>
        <v>0</v>
      </c>
      <c r="S43" s="63">
        <f t="shared" si="12"/>
      </c>
      <c r="T43" s="63">
        <f t="shared" si="13"/>
      </c>
    </row>
    <row r="44" spans="1:20" ht="30" customHeight="1">
      <c r="A44" s="378">
        <f>'2-4'!A19</f>
        <v>8</v>
      </c>
      <c r="B44" s="379" t="str">
        <f>'2-4'!B19</f>
        <v>3-(1)-ｲ</v>
      </c>
      <c r="C44" s="380" t="str">
        <f>'2-4'!C19</f>
        <v>部活動を通した地域連携</v>
      </c>
      <c r="D44" s="255">
        <v>316</v>
      </c>
      <c r="E44" s="316" t="str">
        <f>IF($R44=1,"",VLOOKUP($D44,'2-4'!$D$4:$L$103,2))</f>
        <v>消耗需用費</v>
      </c>
      <c r="F44" s="316" t="str">
        <f>IF($R44=1,"取消し",VLOOKUP($D44,'2-4'!$D$4:$L$103,3))</f>
        <v>茨田カップ実施経費（ボール、記念品等）</v>
      </c>
      <c r="G44" s="225">
        <f>IF($R44=1,,VLOOKUP($D44,'2-4'!$D$4:$L$103,4))</f>
        <v>10000</v>
      </c>
      <c r="H44" s="317">
        <f>IF($R44=1,,VLOOKUP($D44,'2-4'!$D$4:$L$103,5))</f>
        <v>1</v>
      </c>
      <c r="I44" s="317">
        <f>IF($R44=1,,VLOOKUP($D44,'2-4'!$D$4:$L$103,6))</f>
        <v>3</v>
      </c>
      <c r="J44" s="225">
        <f>IF($R44=1,,VLOOKUP($D44,'2-4'!$D$4:$L$103,7))</f>
        <v>30000</v>
      </c>
      <c r="K44" s="319" t="str">
        <f t="shared" si="8"/>
        <v>茨田カップ実施経費（ボール、記念品等）</v>
      </c>
      <c r="L44" s="320">
        <v>26736</v>
      </c>
      <c r="M44" s="321">
        <f t="shared" si="10"/>
        <v>1</v>
      </c>
      <c r="N44" s="321">
        <v>1</v>
      </c>
      <c r="O44" s="310">
        <f t="shared" si="14"/>
        <v>26736</v>
      </c>
      <c r="P44" s="383">
        <f>IF($R44=1,"",VLOOKUP($D44,'2-4'!$D$4:$L$103,8))</f>
        <v>0</v>
      </c>
      <c r="Q44" s="280">
        <f>IF($R44=1,"",VLOOKUP($D44,'2-4'!$D$4:$L$103,9))</f>
        <v>0</v>
      </c>
      <c r="R44" s="25">
        <f>IF(AND(ISNA(MATCH($D44,'随時②-2'!$D$4:$D$18,0)),ISNA(MATCH($D44,'随時③-2'!$D$4:$D$18,0))),0,1)</f>
        <v>0</v>
      </c>
      <c r="S44" s="63">
        <f t="shared" si="12"/>
      </c>
      <c r="T44" s="63">
        <f t="shared" si="13"/>
      </c>
    </row>
    <row r="45" spans="1:20" ht="30" customHeight="1">
      <c r="A45" s="378">
        <f>'2-4'!A20</f>
        <v>9</v>
      </c>
      <c r="B45" s="379" t="str">
        <f>'2-4'!B20</f>
        <v>3-(2)-ｲ</v>
      </c>
      <c r="C45" s="380" t="str">
        <f>'2-4'!C20</f>
        <v>広報活動の充実</v>
      </c>
      <c r="D45" s="255">
        <v>317</v>
      </c>
      <c r="E45" s="316" t="str">
        <f>IF($R45=1,"",VLOOKUP($D45,'2-4'!$D$4:$L$103,2))</f>
        <v>役務費</v>
      </c>
      <c r="F45" s="316" t="str">
        <f>IF($R45=1,"取消し",VLOOKUP($D45,'2-4'!$D$4:$L$103,3))</f>
        <v>学校紹介チラシ送料</v>
      </c>
      <c r="G45" s="225">
        <f>IF($R45=1,,VLOOKUP($D45,'2-4'!$D$4:$L$103,4))</f>
        <v>90</v>
      </c>
      <c r="H45" s="317">
        <f>IF($R45=1,,VLOOKUP($D45,'2-4'!$D$4:$L$103,5))</f>
        <v>160</v>
      </c>
      <c r="I45" s="317">
        <f>IF($R45=1,,VLOOKUP($D45,'2-4'!$D$4:$L$103,6))</f>
        <v>1</v>
      </c>
      <c r="J45" s="225">
        <f>IF($R45=1,,VLOOKUP($D45,'2-4'!$D$4:$L$103,7))</f>
        <v>14400</v>
      </c>
      <c r="K45" s="319" t="str">
        <f t="shared" si="8"/>
        <v>学校紹介チラシ送料</v>
      </c>
      <c r="L45" s="320">
        <v>82</v>
      </c>
      <c r="M45" s="321">
        <v>158</v>
      </c>
      <c r="N45" s="321">
        <f t="shared" si="11"/>
        <v>1</v>
      </c>
      <c r="O45" s="310">
        <f t="shared" si="14"/>
        <v>12956</v>
      </c>
      <c r="P45" s="383">
        <f>IF($R45=1,"",VLOOKUP($D45,'2-4'!$D$4:$L$103,8))</f>
        <v>0</v>
      </c>
      <c r="Q45" s="280">
        <f>IF($R45=1,"",VLOOKUP($D45,'2-4'!$D$4:$L$103,9))</f>
        <v>0</v>
      </c>
      <c r="R45" s="25">
        <f>IF(AND(ISNA(MATCH($D45,'随時②-2'!$D$4:$D$18,0)),ISNA(MATCH($D45,'随時③-2'!$D$4:$D$18,0))),0,1)</f>
        <v>0</v>
      </c>
      <c r="S45" s="63">
        <f t="shared" si="12"/>
      </c>
      <c r="T45" s="63">
        <f t="shared" si="13"/>
      </c>
    </row>
    <row r="46" spans="1:20" ht="30" customHeight="1">
      <c r="A46" s="378">
        <f>'2-4'!A21</f>
        <v>9</v>
      </c>
      <c r="B46" s="379" t="str">
        <f>'2-4'!B21</f>
        <v>3-(2)-ｲ</v>
      </c>
      <c r="C46" s="380" t="str">
        <f>'2-4'!C21</f>
        <v>広報活動の充実</v>
      </c>
      <c r="D46" s="255">
        <v>318</v>
      </c>
      <c r="E46" s="316" t="str">
        <f>IF($R46=1,"",VLOOKUP($D46,'2-4'!$D$4:$L$103,2))</f>
        <v>役務費</v>
      </c>
      <c r="F46" s="316" t="str">
        <f>IF($R46=1,"取消し",VLOOKUP($D46,'2-4'!$D$4:$L$103,3))</f>
        <v>学校紹介チラシ送料</v>
      </c>
      <c r="G46" s="225">
        <f>IF($R46=1,,VLOOKUP($D46,'2-4'!$D$4:$L$103,4))</f>
        <v>90</v>
      </c>
      <c r="H46" s="317">
        <f>IF($R46=1,,VLOOKUP($D46,'2-4'!$D$4:$L$103,5))</f>
        <v>160</v>
      </c>
      <c r="I46" s="317">
        <f>IF($R46=1,,VLOOKUP($D46,'2-4'!$D$4:$L$103,6))</f>
        <v>1</v>
      </c>
      <c r="J46" s="225">
        <f>IF($R46=1,,VLOOKUP($D46,'2-4'!$D$4:$L$103,7))</f>
        <v>14400</v>
      </c>
      <c r="K46" s="319" t="str">
        <f t="shared" si="8"/>
        <v>学校紹介チラシ送料</v>
      </c>
      <c r="L46" s="320">
        <v>82</v>
      </c>
      <c r="M46" s="321">
        <v>158</v>
      </c>
      <c r="N46" s="321">
        <v>2</v>
      </c>
      <c r="O46" s="310">
        <f t="shared" si="14"/>
        <v>25912</v>
      </c>
      <c r="P46" s="383">
        <f>IF($R46=1,"",VLOOKUP($D46,'2-4'!$D$4:$L$103,8))</f>
        <v>0</v>
      </c>
      <c r="Q46" s="280">
        <f>IF($R46=1,"",VLOOKUP($D46,'2-4'!$D$4:$L$103,9))</f>
        <v>0</v>
      </c>
      <c r="R46" s="25">
        <f>IF(AND(ISNA(MATCH($D46,'随時②-2'!$D$4:$D$18,0)),ISNA(MATCH($D46,'随時③-2'!$D$4:$D$18,0))),0,1)</f>
        <v>0</v>
      </c>
      <c r="S46" s="63">
        <f t="shared" si="12"/>
      </c>
      <c r="T46" s="63">
        <f t="shared" si="13"/>
      </c>
    </row>
    <row r="47" spans="1:20" ht="30" customHeight="1">
      <c r="A47" s="378">
        <f>'2-4'!A22</f>
        <v>9</v>
      </c>
      <c r="B47" s="379" t="str">
        <f>'2-4'!B22</f>
        <v>3-(2)-ｲ</v>
      </c>
      <c r="C47" s="380" t="str">
        <f>'2-4'!C22</f>
        <v>広報活動の充実</v>
      </c>
      <c r="D47" s="255">
        <v>319</v>
      </c>
      <c r="E47" s="316" t="str">
        <f>IF($R47=1,"",VLOOKUP($D47,'2-4'!$D$4:$L$103,2))</f>
        <v>消耗需用費</v>
      </c>
      <c r="F47" s="316" t="str">
        <f>IF($R47=1,"取消し",VLOOKUP($D47,'2-4'!$D$4:$L$103,3))</f>
        <v>学校紹介チラシ制作</v>
      </c>
      <c r="G47" s="225">
        <f>IF($R47=1,,VLOOKUP($D47,'2-4'!$D$4:$L$103,4))</f>
        <v>8</v>
      </c>
      <c r="H47" s="317">
        <f>IF($R47=1,,VLOOKUP($D47,'2-4'!$D$4:$L$103,5))</f>
        <v>1000</v>
      </c>
      <c r="I47" s="317">
        <f>IF($R47=1,,VLOOKUP($D47,'2-4'!$D$4:$L$103,6))</f>
        <v>1</v>
      </c>
      <c r="J47" s="225">
        <f>IF($R47=1,,VLOOKUP($D47,'2-4'!$D$4:$L$103,7))</f>
        <v>8000</v>
      </c>
      <c r="K47" s="319" t="str">
        <f t="shared" si="8"/>
        <v>学校紹介チラシ制作</v>
      </c>
      <c r="L47" s="320">
        <v>7.4</v>
      </c>
      <c r="M47" s="321">
        <f t="shared" si="10"/>
        <v>1000</v>
      </c>
      <c r="N47" s="321">
        <f t="shared" si="11"/>
        <v>1</v>
      </c>
      <c r="O47" s="310">
        <f t="shared" si="14"/>
        <v>7400</v>
      </c>
      <c r="P47" s="383">
        <f>IF($R47=1,"",VLOOKUP($D47,'2-4'!$D$4:$L$103,8))</f>
        <v>0</v>
      </c>
      <c r="Q47" s="280">
        <f>IF($R47=1,"",VLOOKUP($D47,'2-4'!$D$4:$L$103,9))</f>
        <v>0</v>
      </c>
      <c r="R47" s="25">
        <f>IF(AND(ISNA(MATCH($D47,'随時②-2'!$D$4:$D$18,0)),ISNA(MATCH($D47,'随時③-2'!$D$4:$D$18,0))),0,1)</f>
        <v>0</v>
      </c>
      <c r="S47" s="63">
        <f t="shared" si="12"/>
      </c>
      <c r="T47" s="63">
        <f t="shared" si="13"/>
      </c>
    </row>
    <row r="48" spans="1:20" ht="30" customHeight="1">
      <c r="A48" s="378">
        <f>'2-4'!A23</f>
        <v>9</v>
      </c>
      <c r="B48" s="379" t="str">
        <f>'2-4'!B23</f>
        <v>3-(2)-ｲ</v>
      </c>
      <c r="C48" s="380" t="str">
        <f>'2-4'!C23</f>
        <v>広報活動の充実</v>
      </c>
      <c r="D48" s="255">
        <v>320</v>
      </c>
      <c r="E48" s="316" t="str">
        <f>IF($R48=1,"",VLOOKUP($D48,'2-4'!$D$4:$L$103,2))</f>
        <v>消耗需用費</v>
      </c>
      <c r="F48" s="316" t="str">
        <f>IF($R48=1,"取消し",VLOOKUP($D48,'2-4'!$D$4:$L$103,3))</f>
        <v>学校紹介チラシ制作</v>
      </c>
      <c r="G48" s="225">
        <f>IF($R48=1,,VLOOKUP($D48,'2-4'!$D$4:$L$103,4))</f>
        <v>4</v>
      </c>
      <c r="H48" s="317">
        <f>IF($R48=1,,VLOOKUP($D48,'2-4'!$D$4:$L$103,5))</f>
        <v>2000</v>
      </c>
      <c r="I48" s="317">
        <f>IF($R48=1,,VLOOKUP($D48,'2-4'!$D$4:$L$103,6))</f>
        <v>1</v>
      </c>
      <c r="J48" s="225">
        <f>IF($R48=1,,VLOOKUP($D48,'2-4'!$D$4:$L$103,7))</f>
        <v>8000</v>
      </c>
      <c r="K48" s="319" t="str">
        <f t="shared" si="8"/>
        <v>学校紹介チラシ制作</v>
      </c>
      <c r="L48" s="320">
        <v>3.95</v>
      </c>
      <c r="M48" s="321">
        <f t="shared" si="10"/>
        <v>2000</v>
      </c>
      <c r="N48" s="321">
        <f t="shared" si="11"/>
        <v>1</v>
      </c>
      <c r="O48" s="310">
        <f t="shared" si="14"/>
        <v>7900</v>
      </c>
      <c r="P48" s="383">
        <f>IF($R48=1,"",VLOOKUP($D48,'2-4'!$D$4:$L$103,8))</f>
        <v>0</v>
      </c>
      <c r="Q48" s="280">
        <f>IF($R48=1,"",VLOOKUP($D48,'2-4'!$D$4:$L$103,9))</f>
        <v>0</v>
      </c>
      <c r="R48" s="25">
        <f>IF(AND(ISNA(MATCH($D48,'随時②-2'!$D$4:$D$18,0)),ISNA(MATCH($D48,'随時③-2'!$D$4:$D$18,0))),0,1)</f>
        <v>0</v>
      </c>
      <c r="S48" s="63">
        <f t="shared" si="12"/>
      </c>
      <c r="T48" s="63">
        <f t="shared" si="13"/>
      </c>
    </row>
    <row r="49" spans="1:20" ht="30" customHeight="1">
      <c r="A49" s="378">
        <f>'2-4'!A24</f>
        <v>9</v>
      </c>
      <c r="B49" s="379" t="str">
        <f>'2-4'!B24</f>
        <v>3-(2)-ｲ</v>
      </c>
      <c r="C49" s="380" t="str">
        <f>'2-4'!C24</f>
        <v>広報活動の充実</v>
      </c>
      <c r="D49" s="255">
        <v>321</v>
      </c>
      <c r="E49" s="316" t="str">
        <f>IF($R49=1,"",VLOOKUP($D49,'2-4'!$D$4:$L$103,2))</f>
        <v>消耗需用費</v>
      </c>
      <c r="F49" s="316" t="str">
        <f>IF($R49=1,"取消し",VLOOKUP($D49,'2-4'!$D$4:$L$103,3))</f>
        <v>広報活動用印刷紙</v>
      </c>
      <c r="G49" s="225">
        <f>IF($R49=1,,VLOOKUP($D49,'2-4'!$D$4:$L$103,4))</f>
        <v>1700</v>
      </c>
      <c r="H49" s="317">
        <f>IF($R49=1,,VLOOKUP($D49,'2-4'!$D$4:$L$103,5))</f>
        <v>4</v>
      </c>
      <c r="I49" s="317">
        <f>IF($R49=1,,VLOOKUP($D49,'2-4'!$D$4:$L$103,6))</f>
        <v>1</v>
      </c>
      <c r="J49" s="225">
        <f>IF($R49=1,,VLOOKUP($D49,'2-4'!$D$4:$L$103,7))</f>
        <v>6800</v>
      </c>
      <c r="K49" s="319" t="str">
        <f t="shared" si="8"/>
        <v>広報活動用印刷紙</v>
      </c>
      <c r="L49" s="320">
        <v>674</v>
      </c>
      <c r="M49" s="321">
        <v>8</v>
      </c>
      <c r="N49" s="321">
        <f t="shared" si="11"/>
        <v>1</v>
      </c>
      <c r="O49" s="310">
        <f t="shared" si="14"/>
        <v>5392</v>
      </c>
      <c r="P49" s="383">
        <f>IF($R49=1,"",VLOOKUP($D49,'2-4'!$D$4:$L$103,8))</f>
        <v>0</v>
      </c>
      <c r="Q49" s="280">
        <f>IF($R49=1,"",VLOOKUP($D49,'2-4'!$D$4:$L$103,9))</f>
        <v>0</v>
      </c>
      <c r="R49" s="25">
        <f>IF(AND(ISNA(MATCH($D49,'随時②-2'!$D$4:$D$18,0)),ISNA(MATCH($D49,'随時③-2'!$D$4:$D$18,0))),0,1)</f>
        <v>0</v>
      </c>
      <c r="S49" s="63">
        <f t="shared" si="12"/>
      </c>
      <c r="T49" s="63">
        <f t="shared" si="13"/>
      </c>
    </row>
    <row r="50" spans="1:20" ht="30" customHeight="1">
      <c r="A50" s="378">
        <f>'2-4'!A25</f>
        <v>9</v>
      </c>
      <c r="B50" s="379" t="str">
        <f>'2-4'!B25</f>
        <v>3-(2)-ｲ</v>
      </c>
      <c r="C50" s="380" t="str">
        <f>'2-4'!C25</f>
        <v>広報活動の充実</v>
      </c>
      <c r="D50" s="255">
        <v>322</v>
      </c>
      <c r="E50" s="316" t="str">
        <f>IF($R50=1,"",VLOOKUP($D50,'2-4'!$D$4:$L$103,2))</f>
        <v>消耗需用費</v>
      </c>
      <c r="F50" s="316" t="str">
        <f>IF($R50=1,"取消し",VLOOKUP($D50,'2-4'!$D$4:$L$103,3))</f>
        <v>広報活動用印刷紙</v>
      </c>
      <c r="G50" s="225">
        <f>IF($R50=1,,VLOOKUP($D50,'2-4'!$D$4:$L$103,4))</f>
        <v>800</v>
      </c>
      <c r="H50" s="317">
        <f>IF($R50=1,,VLOOKUP($D50,'2-4'!$D$4:$L$103,5))</f>
        <v>2</v>
      </c>
      <c r="I50" s="317">
        <f>IF($R50=1,,VLOOKUP($D50,'2-4'!$D$4:$L$103,6))</f>
        <v>1</v>
      </c>
      <c r="J50" s="225">
        <f>IF($R50=1,,VLOOKUP($D50,'2-4'!$D$4:$L$103,7))</f>
        <v>1600</v>
      </c>
      <c r="K50" s="319" t="str">
        <f t="shared" si="8"/>
        <v>広報活動用印刷紙</v>
      </c>
      <c r="L50" s="320">
        <v>674</v>
      </c>
      <c r="M50" s="321">
        <f t="shared" si="10"/>
        <v>2</v>
      </c>
      <c r="N50" s="321">
        <f t="shared" si="11"/>
        <v>1</v>
      </c>
      <c r="O50" s="310">
        <f t="shared" si="14"/>
        <v>1348</v>
      </c>
      <c r="P50" s="383">
        <f>IF($R50=1,"",VLOOKUP($D50,'2-4'!$D$4:$L$103,8))</f>
        <v>0</v>
      </c>
      <c r="Q50" s="280">
        <f>IF($R50=1,"",VLOOKUP($D50,'2-4'!$D$4:$L$103,9))</f>
        <v>0</v>
      </c>
      <c r="R50" s="25">
        <f>IF(AND(ISNA(MATCH($D50,'随時②-2'!$D$4:$D$18,0)),ISNA(MATCH($D50,'随時③-2'!$D$4:$D$18,0))),0,1)</f>
        <v>0</v>
      </c>
      <c r="S50" s="63">
        <f t="shared" si="12"/>
      </c>
      <c r="T50" s="63">
        <f t="shared" si="13"/>
      </c>
    </row>
    <row r="51" spans="1:20" ht="30" customHeight="1">
      <c r="A51" s="378">
        <f>'2-4'!A26</f>
        <v>9</v>
      </c>
      <c r="B51" s="379" t="str">
        <f>'2-4'!B26</f>
        <v>3-(2)-ｲ</v>
      </c>
      <c r="C51" s="380" t="str">
        <f>'2-4'!C26</f>
        <v>広報活動の充実</v>
      </c>
      <c r="D51" s="255">
        <v>323</v>
      </c>
      <c r="E51" s="316" t="str">
        <f>IF($R51=1,"",VLOOKUP($D51,'2-4'!$D$4:$L$103,2))</f>
        <v>消耗需用費</v>
      </c>
      <c r="F51" s="316" t="str">
        <f>IF($R51=1,"取消し",VLOOKUP($D51,'2-4'!$D$4:$L$103,3))</f>
        <v>広報活動用モバイルタブレットPC用バッグ</v>
      </c>
      <c r="G51" s="225">
        <f>IF($R51=1,,VLOOKUP($D51,'2-4'!$D$4:$L$103,4))</f>
        <v>5000</v>
      </c>
      <c r="H51" s="317">
        <f>IF($R51=1,,VLOOKUP($D51,'2-4'!$D$4:$L$103,5))</f>
        <v>1</v>
      </c>
      <c r="I51" s="317">
        <f>IF($R51=1,,VLOOKUP($D51,'2-4'!$D$4:$L$103,6))</f>
        <v>1</v>
      </c>
      <c r="J51" s="225">
        <f>IF($R51=1,,VLOOKUP($D51,'2-4'!$D$4:$L$103,7))</f>
        <v>5000</v>
      </c>
      <c r="K51" s="319" t="str">
        <f t="shared" si="8"/>
        <v>広報活動用モバイルタブレットPC用バッグ</v>
      </c>
      <c r="L51" s="320">
        <v>3218</v>
      </c>
      <c r="M51" s="321">
        <f t="shared" si="10"/>
        <v>1</v>
      </c>
      <c r="N51" s="321">
        <f t="shared" si="11"/>
        <v>1</v>
      </c>
      <c r="O51" s="310">
        <f t="shared" si="14"/>
        <v>3218</v>
      </c>
      <c r="P51" s="383">
        <f>IF($R51=1,"",VLOOKUP($D51,'2-4'!$D$4:$L$103,8))</f>
        <v>0</v>
      </c>
      <c r="Q51" s="280">
        <f>IF($R51=1,"",VLOOKUP($D51,'2-4'!$D$4:$L$103,9))</f>
        <v>0</v>
      </c>
      <c r="R51" s="25">
        <f>IF(AND(ISNA(MATCH($D51,'随時②-2'!$D$4:$D$18,0)),ISNA(MATCH($D51,'随時③-2'!$D$4:$D$18,0))),0,1)</f>
        <v>0</v>
      </c>
      <c r="S51" s="63">
        <f t="shared" si="12"/>
      </c>
      <c r="T51" s="63">
        <f t="shared" si="13"/>
      </c>
    </row>
    <row r="52" spans="1:20" ht="30" customHeight="1">
      <c r="A52" s="378">
        <f>'2-4'!A27</f>
        <v>9</v>
      </c>
      <c r="B52" s="379" t="str">
        <f>'2-4'!B27</f>
        <v>3-(2)-ｲ</v>
      </c>
      <c r="C52" s="380" t="str">
        <f>'2-4'!C27</f>
        <v>学校説明会の充実</v>
      </c>
      <c r="D52" s="255">
        <v>324</v>
      </c>
      <c r="E52" s="316" t="str">
        <f>IF($R52=1,"",VLOOKUP($D52,'2-4'!$D$4:$L$103,2))</f>
        <v>役務費</v>
      </c>
      <c r="F52" s="316" t="str">
        <f>IF($R52=1,"取消し",VLOOKUP($D52,'2-4'!$D$4:$L$103,3))</f>
        <v>学校説明会体験入学参加生徒保険料</v>
      </c>
      <c r="G52" s="225">
        <f>IF($R52=1,,VLOOKUP($D52,'2-4'!$D$4:$L$103,4))</f>
        <v>40</v>
      </c>
      <c r="H52" s="317">
        <f>IF($R52=1,,VLOOKUP($D52,'2-4'!$D$4:$L$103,5))</f>
        <v>150</v>
      </c>
      <c r="I52" s="317">
        <f>IF($R52=1,,VLOOKUP($D52,'2-4'!$D$4:$L$103,6))</f>
        <v>1</v>
      </c>
      <c r="J52" s="225">
        <f>IF($R52=1,,VLOOKUP($D52,'2-4'!$D$4:$L$103,7))</f>
        <v>6000</v>
      </c>
      <c r="K52" s="319" t="str">
        <f t="shared" si="8"/>
        <v>学校説明会体験入学参加生徒保険料</v>
      </c>
      <c r="L52" s="320">
        <v>33</v>
      </c>
      <c r="M52" s="321">
        <v>80</v>
      </c>
      <c r="N52" s="321">
        <f t="shared" si="11"/>
        <v>1</v>
      </c>
      <c r="O52" s="310">
        <f t="shared" si="14"/>
        <v>2640</v>
      </c>
      <c r="P52" s="383">
        <f>IF($R52=1,"",VLOOKUP($D52,'2-4'!$D$4:$L$103,8))</f>
        <v>0</v>
      </c>
      <c r="Q52" s="280">
        <f>IF($R52=1,"",VLOOKUP($D52,'2-4'!$D$4:$L$103,9))</f>
        <v>0</v>
      </c>
      <c r="R52" s="25">
        <f>IF(AND(ISNA(MATCH($D52,'随時②-2'!$D$4:$D$18,0)),ISNA(MATCH($D52,'随時③-2'!$D$4:$D$18,0))),0,1)</f>
        <v>0</v>
      </c>
      <c r="S52" s="63">
        <f t="shared" si="12"/>
      </c>
      <c r="T52" s="63">
        <f t="shared" si="13"/>
      </c>
    </row>
    <row r="53" spans="1:20" ht="30" customHeight="1">
      <c r="A53" s="378">
        <f>'2-4'!A28</f>
        <v>9</v>
      </c>
      <c r="B53" s="379" t="str">
        <f>'2-4'!B28</f>
        <v>3-(2)-ｲ</v>
      </c>
      <c r="C53" s="380" t="str">
        <f>'2-4'!C28</f>
        <v>学校説明会の充実</v>
      </c>
      <c r="D53" s="255">
        <v>325</v>
      </c>
      <c r="E53" s="316" t="str">
        <f>IF($R53=1,"",VLOOKUP($D53,'2-4'!$D$4:$L$103,2))</f>
        <v>消耗需用費</v>
      </c>
      <c r="F53" s="316" t="str">
        <f>IF($R53=1,"取消し",VLOOKUP($D53,'2-4'!$D$4:$L$103,3))</f>
        <v>学校説明会体験入学教材費</v>
      </c>
      <c r="G53" s="225">
        <f>IF($R53=1,,VLOOKUP($D53,'2-4'!$D$4:$L$103,4))</f>
        <v>5000</v>
      </c>
      <c r="H53" s="317">
        <f>IF($R53=1,,VLOOKUP($D53,'2-4'!$D$4:$L$103,5))</f>
        <v>10</v>
      </c>
      <c r="I53" s="317">
        <f>IF($R53=1,,VLOOKUP($D53,'2-4'!$D$4:$L$103,6))</f>
        <v>1</v>
      </c>
      <c r="J53" s="225">
        <f>IF($R53=1,,VLOOKUP($D53,'2-4'!$D$4:$L$103,7))</f>
        <v>50000</v>
      </c>
      <c r="K53" s="319" t="str">
        <f t="shared" si="8"/>
        <v>学校説明会体験入学教材費</v>
      </c>
      <c r="L53" s="320">
        <v>3823.9</v>
      </c>
      <c r="M53" s="321">
        <f t="shared" si="10"/>
        <v>10</v>
      </c>
      <c r="N53" s="321">
        <f t="shared" si="11"/>
        <v>1</v>
      </c>
      <c r="O53" s="310">
        <f t="shared" si="14"/>
        <v>38239</v>
      </c>
      <c r="P53" s="383">
        <f>IF($R53=1,"",VLOOKUP($D53,'2-4'!$D$4:$L$103,8))</f>
        <v>0</v>
      </c>
      <c r="Q53" s="280">
        <f>IF($R53=1,"",VLOOKUP($D53,'2-4'!$D$4:$L$103,9))</f>
        <v>0</v>
      </c>
      <c r="R53" s="25">
        <f>IF(AND(ISNA(MATCH($D53,'随時②-2'!$D$4:$D$18,0)),ISNA(MATCH($D53,'随時③-2'!$D$4:$D$18,0))),0,1)</f>
        <v>0</v>
      </c>
      <c r="S53" s="63">
        <f t="shared" si="12"/>
      </c>
      <c r="T53" s="63">
        <f t="shared" si="13"/>
      </c>
    </row>
    <row r="54" spans="1:20" ht="30" customHeight="1">
      <c r="A54" s="378">
        <f>'2-4'!A30</f>
        <v>0</v>
      </c>
      <c r="B54" s="379">
        <f>'2-4'!B30</f>
        <v>0</v>
      </c>
      <c r="C54" s="380">
        <f>'2-4'!C30</f>
        <v>0</v>
      </c>
      <c r="D54" s="255">
        <v>327</v>
      </c>
      <c r="E54" s="316" t="str">
        <f>IF($R54=1,"",VLOOKUP($D54,'2-4'!$D$4:$L$103,2))</f>
        <v>消耗需用費</v>
      </c>
      <c r="F54" s="316" t="str">
        <f>IF($R54=1,"取消し",VLOOKUP($D54,'2-4'!$D$4:$L$103,3))</f>
        <v>全国高等学校教頭・副校長会 近畿地区連絡協議会（資料代）</v>
      </c>
      <c r="G54" s="225">
        <f>IF($R54=1,,VLOOKUP($D54,'2-4'!$D$4:$L$103,4))</f>
        <v>3000</v>
      </c>
      <c r="H54" s="317">
        <f>IF($R54=1,,VLOOKUP($D54,'2-4'!$D$4:$L$103,5))</f>
        <v>1</v>
      </c>
      <c r="I54" s="317">
        <f>IF($R54=1,,VLOOKUP($D54,'2-4'!$D$4:$L$103,6))</f>
        <v>1</v>
      </c>
      <c r="J54" s="225">
        <f>IF($R54=1,,VLOOKUP($D54,'2-4'!$D$4:$L$103,7))</f>
        <v>3000</v>
      </c>
      <c r="K54" s="319" t="str">
        <f t="shared" si="8"/>
        <v>全国高等学校教頭・副校長会 近畿地区連絡協議会（資料代）</v>
      </c>
      <c r="L54" s="320">
        <f t="shared" si="9"/>
        <v>3000</v>
      </c>
      <c r="M54" s="321">
        <v>0</v>
      </c>
      <c r="N54" s="321">
        <f t="shared" si="11"/>
        <v>1</v>
      </c>
      <c r="O54" s="310">
        <f t="shared" si="14"/>
        <v>0</v>
      </c>
      <c r="P54" s="383">
        <f>IF($R54=1,"",VLOOKUP($D54,'2-4'!$D$4:$L$103,8))</f>
        <v>0</v>
      </c>
      <c r="Q54" s="280">
        <f>IF($R54=1,"",VLOOKUP($D54,'2-4'!$D$4:$L$103,9))</f>
        <v>0</v>
      </c>
      <c r="R54" s="25">
        <f>IF(AND(ISNA(MATCH($D54,'随時②-2'!$D$4:$D$18,0)),ISNA(MATCH($D54,'随時③-2'!$D$4:$D$18,0))),0,1)</f>
        <v>0</v>
      </c>
      <c r="S54" s="63">
        <f t="shared" si="12"/>
      </c>
      <c r="T54" s="63">
        <f t="shared" si="13"/>
      </c>
    </row>
    <row r="55" spans="1:20" ht="30" customHeight="1">
      <c r="A55" s="371">
        <f>'随時③-2'!A21</f>
        <v>0</v>
      </c>
      <c r="B55" s="372">
        <f>'随時③-2'!B21</f>
        <v>0</v>
      </c>
      <c r="C55" s="373">
        <f>'随時③-2'!C21</f>
        <v>0</v>
      </c>
      <c r="D55" s="264">
        <v>401</v>
      </c>
      <c r="E55" s="316" t="str">
        <f>'随時③-2'!E21</f>
        <v>消耗需用費</v>
      </c>
      <c r="F55" s="316" t="str">
        <f>'随時③-2'!F21</f>
        <v>International Day（連携大学への留学生との交流）開催経費</v>
      </c>
      <c r="G55" s="225">
        <f>'随時③-2'!G21</f>
        <v>14500</v>
      </c>
      <c r="H55" s="317">
        <f>'随時③-2'!H21</f>
        <v>1</v>
      </c>
      <c r="I55" s="317">
        <f>'随時③-2'!I21</f>
        <v>1</v>
      </c>
      <c r="J55" s="384">
        <f>G55*H55*I55</f>
        <v>14500</v>
      </c>
      <c r="K55" s="340" t="str">
        <f>F55</f>
        <v>International Day（連携大学への留学生との交流）開催経費</v>
      </c>
      <c r="L55" s="341">
        <v>12002</v>
      </c>
      <c r="M55" s="342">
        <f>H55</f>
        <v>1</v>
      </c>
      <c r="N55" s="342">
        <f>I55</f>
        <v>1</v>
      </c>
      <c r="O55" s="343">
        <f>L55*M55*N55</f>
        <v>12002</v>
      </c>
      <c r="P55" s="344">
        <f>'随時③-2'!K21</f>
        <v>0</v>
      </c>
      <c r="Q55" s="345">
        <f>'随時③-2'!L21</f>
        <v>0</v>
      </c>
      <c r="R55" s="25">
        <f>IF(AND(ISNA(MATCH($D55,'随時②-2'!$D$4:$D$18,0)),ISNA(MATCH($D55,'随時③-2'!$D$4:$D$18,0))),0,1)</f>
        <v>0</v>
      </c>
      <c r="S55" s="63">
        <f>IF(P55="◎",J55,"")</f>
      </c>
      <c r="T55" s="63">
        <f>IF(P55="◎",O55,"")</f>
      </c>
    </row>
    <row r="56" spans="1:20" ht="30" customHeight="1" thickBot="1">
      <c r="A56" s="371">
        <f>'随時③-2'!A22</f>
        <v>0</v>
      </c>
      <c r="B56" s="372">
        <f>'随時③-2'!B22</f>
        <v>0</v>
      </c>
      <c r="C56" s="373">
        <f>'随時③-2'!C22</f>
        <v>0</v>
      </c>
      <c r="D56" s="255">
        <v>402</v>
      </c>
      <c r="E56" s="315" t="str">
        <f>'随時③-2'!E22</f>
        <v>役務費</v>
      </c>
      <c r="F56" s="316" t="str">
        <f>'随時③-2'!F22</f>
        <v>International Day関係物品購入に係る送料</v>
      </c>
      <c r="G56" s="225">
        <f>'随時③-2'!G22</f>
        <v>500</v>
      </c>
      <c r="H56" s="317">
        <f>'随時③-2'!H22</f>
        <v>1</v>
      </c>
      <c r="I56" s="317">
        <f>'随時③-2'!I22</f>
        <v>1</v>
      </c>
      <c r="J56" s="385">
        <f>G56*H56*I56</f>
        <v>500</v>
      </c>
      <c r="K56" s="319" t="str">
        <f>F56</f>
        <v>International Day関係物品購入に係る送料</v>
      </c>
      <c r="L56" s="320">
        <f>G56</f>
        <v>500</v>
      </c>
      <c r="M56" s="321">
        <f>H56</f>
        <v>1</v>
      </c>
      <c r="N56" s="321">
        <f>I56</f>
        <v>1</v>
      </c>
      <c r="O56" s="310">
        <f>L56*M56*N56</f>
        <v>500</v>
      </c>
      <c r="P56" s="344">
        <f>'随時③-2'!K22</f>
        <v>0</v>
      </c>
      <c r="Q56" s="345">
        <f>'随時③-2'!L22</f>
        <v>0</v>
      </c>
      <c r="R56" s="25">
        <f>IF(AND(ISNA(MATCH($D56,'随時②-2'!$D$4:$D$18,0)),ISNA(MATCH($D56,'随時③-2'!$D$4:$D$18,0))),0,1)</f>
        <v>0</v>
      </c>
      <c r="S56" s="63">
        <f>IF(P56="◎",J56,"")</f>
      </c>
      <c r="T56" s="63">
        <f>IF(P56="◎",O56,"")</f>
      </c>
    </row>
    <row r="57" spans="1:17" ht="13.5">
      <c r="A57" s="51"/>
      <c r="B57" s="51"/>
      <c r="C57" s="51"/>
      <c r="D57" s="73"/>
      <c r="E57" s="64"/>
      <c r="F57" s="64"/>
      <c r="G57" s="49"/>
      <c r="H57" s="65"/>
      <c r="I57" s="65"/>
      <c r="J57" s="52">
        <f>G57*H57*I57</f>
        <v>0</v>
      </c>
      <c r="K57" s="64"/>
      <c r="L57" s="36"/>
      <c r="M57" s="68"/>
      <c r="N57" s="68"/>
      <c r="O57" s="36"/>
      <c r="P57" s="37"/>
      <c r="Q57" s="69"/>
    </row>
    <row r="58" spans="6:10" ht="24" customHeight="1" thickBot="1">
      <c r="F58" s="28"/>
      <c r="G58" s="28"/>
      <c r="I58" s="526" t="s">
        <v>15</v>
      </c>
      <c r="J58" s="526"/>
    </row>
    <row r="59" spans="4:15" ht="24" customHeight="1" thickBot="1">
      <c r="D59" s="5"/>
      <c r="F59" s="24"/>
      <c r="G59" s="24"/>
      <c r="I59" s="540" t="s">
        <v>96</v>
      </c>
      <c r="J59" s="541"/>
      <c r="K59" s="38" t="s">
        <v>190</v>
      </c>
      <c r="L59" s="527" t="s">
        <v>175</v>
      </c>
      <c r="M59" s="528"/>
      <c r="N59" s="529" t="s">
        <v>191</v>
      </c>
      <c r="O59" s="530"/>
    </row>
    <row r="60" spans="4:15" ht="14.25" thickTop="1">
      <c r="D60" s="5"/>
      <c r="I60" s="542" t="s">
        <v>85</v>
      </c>
      <c r="J60" s="543"/>
      <c r="K60" s="349">
        <f>SUMIF($E$4:$E$56,$I60,$O$4:$O$56)</f>
        <v>435000</v>
      </c>
      <c r="L60" s="536">
        <f>SUMIF($E$4:$E$56,$I60,$T$4:$T$56)</f>
        <v>0</v>
      </c>
      <c r="M60" s="537">
        <f>SUMIF($E$4:$E$56,$I60,$O$4:$O$56)</f>
        <v>435000</v>
      </c>
      <c r="N60" s="538">
        <f>K60-L60</f>
        <v>435000</v>
      </c>
      <c r="O60" s="539"/>
    </row>
    <row r="61" spans="4:15" ht="13.5">
      <c r="D61" s="5"/>
      <c r="I61" s="548" t="s">
        <v>86</v>
      </c>
      <c r="J61" s="549"/>
      <c r="K61" s="352">
        <f>SUMIF($E$4:$E$56,$I61,$O$4:$O$56)</f>
        <v>86140</v>
      </c>
      <c r="L61" s="544">
        <f>SUMIF($E$4:$E$56,$I61,$T$4:$T$56)</f>
        <v>0</v>
      </c>
      <c r="M61" s="545">
        <f>SUMIF($E$4:$E$56,$I61,$O$4:$O$56)</f>
        <v>86140</v>
      </c>
      <c r="N61" s="546">
        <f aca="true" t="shared" si="15" ref="N61:N68">K61-L61</f>
        <v>86140</v>
      </c>
      <c r="O61" s="547"/>
    </row>
    <row r="62" spans="4:15" ht="13.5">
      <c r="D62" s="5"/>
      <c r="I62" s="548" t="s">
        <v>125</v>
      </c>
      <c r="J62" s="549"/>
      <c r="K62" s="348">
        <f>SUMIF($E$4:$E$56,$I62,$O$4:$O$56)</f>
        <v>153957</v>
      </c>
      <c r="L62" s="544">
        <f>SUMIF($E$4:$E$56,$I62,$T$4:$T$56)</f>
        <v>0</v>
      </c>
      <c r="M62" s="545">
        <f>SUMIF($E$4:$E$56,$I62,$O$4:$O$56)</f>
        <v>153957</v>
      </c>
      <c r="N62" s="546">
        <f t="shared" si="15"/>
        <v>153957</v>
      </c>
      <c r="O62" s="547"/>
    </row>
    <row r="63" spans="4:15" ht="13.5">
      <c r="D63" s="5"/>
      <c r="I63" s="548" t="s">
        <v>126</v>
      </c>
      <c r="J63" s="549"/>
      <c r="K63" s="348">
        <f>SUMIF($E$4:$E$56,$I63,$O$4:$O$56)</f>
        <v>0</v>
      </c>
      <c r="L63" s="544">
        <f>SUMIF($E$4:$E$56,$I63,$T$4:$T$56)</f>
        <v>0</v>
      </c>
      <c r="M63" s="545">
        <f>SUMIF($E$4:$E$56,$I63,$O$4:$O$56)</f>
        <v>0</v>
      </c>
      <c r="N63" s="546">
        <f t="shared" si="15"/>
        <v>0</v>
      </c>
      <c r="O63" s="547"/>
    </row>
    <row r="64" spans="4:15" ht="13.5">
      <c r="D64" s="5"/>
      <c r="I64" s="548" t="s">
        <v>87</v>
      </c>
      <c r="J64" s="549"/>
      <c r="K64" s="348">
        <f>SUMIF($E$4:$E$56,$I64,$O$4:$O$56)</f>
        <v>95254</v>
      </c>
      <c r="L64" s="544">
        <f>SUMIF($E$4:$E$56,$I64,$T$4:$T$56)</f>
        <v>0</v>
      </c>
      <c r="M64" s="545">
        <f>SUMIF($E$4:$E$56,$I64,$O$4:$O$56)</f>
        <v>95254</v>
      </c>
      <c r="N64" s="546">
        <f t="shared" si="15"/>
        <v>95254</v>
      </c>
      <c r="O64" s="547"/>
    </row>
    <row r="65" spans="4:15" ht="13.5">
      <c r="D65" s="5"/>
      <c r="I65" s="548" t="s">
        <v>88</v>
      </c>
      <c r="J65" s="549"/>
      <c r="K65" s="348">
        <f>SUMIF($E$4:$E$56,$I65,$O$4:$O$56)</f>
        <v>0</v>
      </c>
      <c r="L65" s="544">
        <f>SUMIF($E$4:$E$56,$I65,$T$4:$T$56)</f>
        <v>0</v>
      </c>
      <c r="M65" s="545">
        <f>SUMIF($E$4:$E$56,$I65,$O$4:$O$56)</f>
        <v>0</v>
      </c>
      <c r="N65" s="546">
        <f t="shared" si="15"/>
        <v>0</v>
      </c>
      <c r="O65" s="547"/>
    </row>
    <row r="66" spans="4:15" ht="13.5">
      <c r="D66" s="5"/>
      <c r="I66" s="548" t="s">
        <v>89</v>
      </c>
      <c r="J66" s="549"/>
      <c r="K66" s="348">
        <f>SUMIF($E$4:$E$56,$I66,$O$4:$O$56)</f>
        <v>0</v>
      </c>
      <c r="L66" s="544">
        <f>SUMIF($E$4:$E$56,$I66,$T$4:$T$56)</f>
        <v>0</v>
      </c>
      <c r="M66" s="545">
        <f>SUMIF($E$4:$E$56,$I66,$O$4:$O$56)</f>
        <v>0</v>
      </c>
      <c r="N66" s="546">
        <f t="shared" si="15"/>
        <v>0</v>
      </c>
      <c r="O66" s="547"/>
    </row>
    <row r="67" spans="4:15" ht="13.5">
      <c r="D67" s="5"/>
      <c r="I67" s="548" t="s">
        <v>90</v>
      </c>
      <c r="J67" s="549"/>
      <c r="K67" s="348">
        <f>SUMIF($E$4:$E$56,$I67,$O$4:$O$56)</f>
        <v>140292</v>
      </c>
      <c r="L67" s="544">
        <f>SUMIF($E$4:$E$56,$I67,$T$4:$T$56)</f>
        <v>0</v>
      </c>
      <c r="M67" s="545">
        <f>SUMIF($E$4:$E$56,$I67,$O$4:$O$56)</f>
        <v>140292</v>
      </c>
      <c r="N67" s="546">
        <f t="shared" si="15"/>
        <v>140292</v>
      </c>
      <c r="O67" s="547"/>
    </row>
    <row r="68" spans="4:15" ht="14.25" thickBot="1">
      <c r="D68" s="5"/>
      <c r="I68" s="558" t="s">
        <v>137</v>
      </c>
      <c r="J68" s="559"/>
      <c r="K68" s="348">
        <f>SUMIF($E$4:$E$56,$I68,$O$4:$O$56)</f>
        <v>101430</v>
      </c>
      <c r="L68" s="554">
        <f>SUMIF($E$4:$E$56,$I68,$T$4:$T$56)+'3-3'!F22</f>
        <v>11000</v>
      </c>
      <c r="M68" s="555">
        <f>SUMIF($E$4:$E$56,$I68,$O$4:$O$56)</f>
        <v>101430</v>
      </c>
      <c r="N68" s="556">
        <f t="shared" si="15"/>
        <v>90430</v>
      </c>
      <c r="O68" s="557"/>
    </row>
    <row r="69" spans="4:15" ht="15" thickBot="1" thickTop="1">
      <c r="D69" s="5"/>
      <c r="I69" s="560" t="s">
        <v>15</v>
      </c>
      <c r="J69" s="561"/>
      <c r="K69" s="355">
        <f>SUM(K60:K68)</f>
        <v>1012073</v>
      </c>
      <c r="L69" s="550">
        <f>SUM(L60:L68)</f>
        <v>11000</v>
      </c>
      <c r="M69" s="551"/>
      <c r="N69" s="552">
        <f>SUM(N60:N68)</f>
        <v>1001073</v>
      </c>
      <c r="O69" s="553"/>
    </row>
  </sheetData>
  <sheetProtection formatCells="0" selectLockedCells="1"/>
  <mergeCells count="36">
    <mergeCell ref="I67:J67"/>
    <mergeCell ref="L69:M69"/>
    <mergeCell ref="N69:O69"/>
    <mergeCell ref="L67:M67"/>
    <mergeCell ref="N67:O67"/>
    <mergeCell ref="L68:M68"/>
    <mergeCell ref="N68:O68"/>
    <mergeCell ref="I68:J68"/>
    <mergeCell ref="I69:J69"/>
    <mergeCell ref="L65:M65"/>
    <mergeCell ref="N65:O65"/>
    <mergeCell ref="L66:M66"/>
    <mergeCell ref="N66:O66"/>
    <mergeCell ref="I65:J65"/>
    <mergeCell ref="I66:J66"/>
    <mergeCell ref="L63:M63"/>
    <mergeCell ref="N63:O63"/>
    <mergeCell ref="L64:M64"/>
    <mergeCell ref="N64:O64"/>
    <mergeCell ref="I63:J63"/>
    <mergeCell ref="I64:J64"/>
    <mergeCell ref="L61:M61"/>
    <mergeCell ref="N61:O61"/>
    <mergeCell ref="L62:M62"/>
    <mergeCell ref="N62:O62"/>
    <mergeCell ref="I61:J61"/>
    <mergeCell ref="I62:J62"/>
    <mergeCell ref="I58:J58"/>
    <mergeCell ref="L59:M59"/>
    <mergeCell ref="N59:O59"/>
    <mergeCell ref="K2:O2"/>
    <mergeCell ref="F2:J2"/>
    <mergeCell ref="L60:M60"/>
    <mergeCell ref="N60:O60"/>
    <mergeCell ref="I59:J59"/>
    <mergeCell ref="I60:J60"/>
  </mergeCells>
  <conditionalFormatting sqref="B2:E2 J55:J57 J4:J28">
    <cfRule type="cellIs" priority="32" dxfId="28" operator="equal" stopIfTrue="1">
      <formula>0</formula>
    </cfRule>
  </conditionalFormatting>
  <conditionalFormatting sqref="O4:O28 K29:O57">
    <cfRule type="cellIs" priority="30" dxfId="16" operator="notEqual" stopIfTrue="1">
      <formula>F4</formula>
    </cfRule>
  </conditionalFormatting>
  <dataValidations count="2">
    <dataValidation type="list" allowBlank="1" showInputMessage="1" showErrorMessage="1" sqref="E57 I60:I68">
      <formula1>"報償費,旅費,消耗需用費,維持需用費,役務費,委託料,使用料及び賃借料,備品購入費,負担金、補助及び交付金"</formula1>
    </dataValidation>
    <dataValidation type="list" allowBlank="1" showInputMessage="1" showErrorMessage="1" sqref="P57">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2" manualBreakCount="2">
    <brk id="28" max="16" man="1"/>
    <brk id="56"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3"/>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2" t="s">
        <v>264</v>
      </c>
      <c r="B1" s="562"/>
      <c r="C1" s="562"/>
      <c r="D1" s="562"/>
      <c r="E1" s="562"/>
      <c r="F1" s="562"/>
    </row>
    <row r="2" spans="1:6" ht="15" customHeight="1" thickBot="1">
      <c r="A2" s="8"/>
      <c r="B2" s="7" t="s">
        <v>243</v>
      </c>
      <c r="C2" s="87"/>
      <c r="E2" s="72" t="s">
        <v>219</v>
      </c>
      <c r="F2" s="185">
        <f>SUM(E4:E19)</f>
        <v>57430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2">
        <f>IF('2-3'!H25="",'2-3'!E25,'2-3'!H25)</f>
        <v>9000</v>
      </c>
      <c r="F5" s="140">
        <f>IF('2-3'!I25="",'2-3'!G25,'2-3'!I25)</f>
      </c>
    </row>
    <row r="6" spans="1:6" ht="15" customHeight="1">
      <c r="A6" s="104">
        <v>28</v>
      </c>
      <c r="B6" s="127" t="str">
        <f>IF('1-3'!B31="","",'1-3'!B31)</f>
        <v>全国</v>
      </c>
      <c r="C6" s="138" t="str">
        <f>IF('1-3'!C31="","",'1-3'!C31)</f>
        <v>事務長</v>
      </c>
      <c r="D6" s="141" t="str">
        <f>IF('1-3'!D31="","",'1-3'!D31)</f>
        <v>全国公立学校事務長会</v>
      </c>
      <c r="E6" s="212">
        <f>IF('2-3'!H32="",'2-3'!E32,'2-3'!H32)</f>
        <v>3000</v>
      </c>
      <c r="F6" s="140" t="str">
        <f>IF('2-3'!I32="",'2-3'!G32,'2-3'!I32)</f>
        <v>◎</v>
      </c>
    </row>
    <row r="7" spans="1:6" ht="15" customHeight="1" thickBot="1">
      <c r="A7" s="108">
        <v>45</v>
      </c>
      <c r="B7" s="129" t="str">
        <f>IF('1-3'!B48="","",'1-3'!B48)</f>
        <v>全国</v>
      </c>
      <c r="C7" s="129">
        <f>IF('1-3'!C48="","",'1-3'!C48)</f>
      </c>
      <c r="D7" s="144" t="str">
        <f>IF('1-3'!D48="","",'1-3'!D48)</f>
        <v>日本教育会</v>
      </c>
      <c r="E7" s="214">
        <f>IF('2-3'!H49="",'2-3'!E49,'2-3'!H49)</f>
        <v>3600</v>
      </c>
      <c r="F7" s="85">
        <f>IF('2-3'!I49="",'2-3'!G49,'2-3'!I49)</f>
      </c>
    </row>
    <row r="8" spans="1:6" ht="15" customHeight="1">
      <c r="A8" s="104">
        <v>60</v>
      </c>
      <c r="B8" s="127" t="str">
        <f>IF('1-3'!B63="","",'1-3'!B63)</f>
        <v>近畿・西日本</v>
      </c>
      <c r="C8" s="172" t="str">
        <f>IF('1-3'!C63="","",'1-3'!C63)</f>
        <v>事務長</v>
      </c>
      <c r="D8" s="180" t="str">
        <f>IF('1-3'!D63="","",'1-3'!D63)</f>
        <v>近畿公立学校事務長会</v>
      </c>
      <c r="E8" s="210">
        <f>IF('2-3'!H64="",'2-3'!E64,'2-3'!H64)</f>
        <v>1800</v>
      </c>
      <c r="F8" s="83">
        <f>IF('2-3'!I64="",'2-3'!G64,'2-3'!I64)</f>
      </c>
    </row>
    <row r="9" spans="1:6" ht="15" customHeight="1">
      <c r="A9" s="104">
        <v>79</v>
      </c>
      <c r="B9" s="127" t="str">
        <f>IF('1-3'!B82="","",'1-3'!B82)</f>
        <v>大阪</v>
      </c>
      <c r="C9" s="177" t="str">
        <f>IF('1-3'!C82="","",'1-3'!C82)</f>
        <v>事務長</v>
      </c>
      <c r="D9" s="181" t="str">
        <f>IF('1-3'!D82="","",'1-3'!D82)</f>
        <v>大阪府立学校事務長会</v>
      </c>
      <c r="E9" s="215">
        <f>IF('2-3'!H83="",'2-3'!E83,'2-3'!H83)</f>
        <v>1000</v>
      </c>
      <c r="F9" s="179">
        <f>IF('2-3'!I83="",'2-3'!G83,'2-3'!I83)</f>
      </c>
    </row>
    <row r="10" spans="1:6" ht="15" customHeight="1">
      <c r="A10" s="104">
        <v>82</v>
      </c>
      <c r="B10" s="127" t="str">
        <f>IF('1-3'!B85="","",'1-3'!B85)</f>
        <v>大阪</v>
      </c>
      <c r="C10" s="127">
        <f>IF('1-3'!C85="","",'1-3'!C85)</f>
      </c>
      <c r="D10" s="143" t="str">
        <f>IF('1-3'!D85="","",'1-3'!D85)</f>
        <v>大阪府高等学校家庭クラブ連合会</v>
      </c>
      <c r="E10" s="210">
        <f>IF('2-3'!H86="",'2-3'!E86,'2-3'!H86)</f>
        <v>2000</v>
      </c>
      <c r="F10" s="83">
        <f>IF('2-3'!I86="",'2-3'!G86,'2-3'!I86)</f>
      </c>
    </row>
    <row r="11" spans="1:6" ht="15" customHeight="1">
      <c r="A11" s="104">
        <v>83</v>
      </c>
      <c r="B11" s="127" t="str">
        <f>IF('1-3'!B86="","",'1-3'!B86)</f>
        <v>大阪</v>
      </c>
      <c r="C11" s="127">
        <f>IF('1-3'!C86="","",'1-3'!C86)</f>
      </c>
      <c r="D11" s="143" t="str">
        <f>IF('1-3'!D86="","",'1-3'!D86)</f>
        <v>大阪府高等学校校外学習研究会</v>
      </c>
      <c r="E11" s="210">
        <f>IF('2-3'!H87="",'2-3'!E87,'2-3'!H87)</f>
        <v>3000</v>
      </c>
      <c r="F11" s="83">
        <f>IF('2-3'!I87="",'2-3'!G87,'2-3'!I87)</f>
      </c>
    </row>
    <row r="12" spans="1:6" ht="15" customHeight="1">
      <c r="A12" s="104">
        <v>85</v>
      </c>
      <c r="B12" s="127" t="str">
        <f>IF('1-3'!B88="","",'1-3'!B88)</f>
        <v>大阪</v>
      </c>
      <c r="C12" s="127">
        <f>IF('1-3'!C88="","",'1-3'!C88)</f>
      </c>
      <c r="D12" s="143" t="str">
        <f>IF('1-3'!D88="","",'1-3'!D88)</f>
        <v>大阪府高等学校進路指導研究会</v>
      </c>
      <c r="E12" s="210">
        <f>IF('2-3'!H89="",'2-3'!E89,'2-3'!H89)</f>
        <v>2000</v>
      </c>
      <c r="F12" s="83">
        <f>IF('2-3'!I89="",'2-3'!G89,'2-3'!I89)</f>
      </c>
    </row>
    <row r="13" spans="1:6" ht="15" customHeight="1">
      <c r="A13" s="104">
        <v>90</v>
      </c>
      <c r="B13" s="127" t="str">
        <f>IF('1-3'!B93="","",'1-3'!B93)</f>
        <v>大阪</v>
      </c>
      <c r="C13" s="127">
        <f>IF('1-3'!C93="","",'1-3'!C93)</f>
      </c>
      <c r="D13" s="143" t="str">
        <f>IF('1-3'!D93="","",'1-3'!D93)</f>
        <v>大阪府立学校在日外国人教育研究会</v>
      </c>
      <c r="E13" s="210">
        <f>IF('2-3'!H94="",'2-3'!E94,'2-3'!H94)</f>
        <v>2580</v>
      </c>
      <c r="F13" s="83">
        <f>IF('2-3'!I94="",'2-3'!G94,'2-3'!I94)</f>
      </c>
    </row>
    <row r="14" spans="1:6" ht="15" customHeight="1">
      <c r="A14" s="104">
        <v>91</v>
      </c>
      <c r="B14" s="127" t="str">
        <f>IF('1-3'!B94="","",'1-3'!B94)</f>
        <v>大阪</v>
      </c>
      <c r="C14" s="127">
        <f>IF('1-3'!C94="","",'1-3'!C94)</f>
      </c>
      <c r="D14" s="143" t="str">
        <f>IF('1-3'!D94="","",'1-3'!D94)</f>
        <v>大阪府立学校人権教育研究会</v>
      </c>
      <c r="E14" s="210">
        <f>IF('2-3'!H95="",'2-3'!E95,'2-3'!H95)</f>
        <v>3050</v>
      </c>
      <c r="F14" s="83">
        <f>IF('2-3'!I95="",'2-3'!G95,'2-3'!I95)</f>
      </c>
    </row>
    <row r="15" spans="1:6" ht="15" customHeight="1">
      <c r="A15" s="104">
        <v>92</v>
      </c>
      <c r="B15" s="127" t="str">
        <f>IF('1-3'!B95="","",'1-3'!B95)</f>
        <v>大阪</v>
      </c>
      <c r="C15" s="127">
        <f>IF('1-3'!C95="","",'1-3'!C95)</f>
      </c>
      <c r="D15" s="143" t="str">
        <f>IF('1-3'!D95="","",'1-3'!D95)</f>
        <v>大阪府立高等学校教務研究会</v>
      </c>
      <c r="E15" s="210">
        <f>IF('2-3'!H96="",'2-3'!E96,'2-3'!H96)</f>
        <v>4000</v>
      </c>
      <c r="F15" s="83">
        <f>IF('2-3'!I96="",'2-3'!G96,'2-3'!I96)</f>
      </c>
    </row>
    <row r="16" spans="1:6" ht="15" customHeight="1">
      <c r="A16" s="104">
        <v>93</v>
      </c>
      <c r="B16" s="127" t="str">
        <f>IF('1-3'!B96="","",'1-3'!B96)</f>
        <v>大阪</v>
      </c>
      <c r="C16" s="127">
        <f>IF('1-3'!C96="","",'1-3'!C96)</f>
      </c>
      <c r="D16" s="143" t="str">
        <f>IF('1-3'!D96="","",'1-3'!D96)</f>
        <v>大阪府立高等学校保健研究会</v>
      </c>
      <c r="E16" s="210">
        <f>IF('2-3'!H97="",'2-3'!E97,'2-3'!H97)</f>
        <v>2400</v>
      </c>
      <c r="F16" s="83">
        <f>IF('2-3'!I97="",'2-3'!G97,'2-3'!I97)</f>
      </c>
    </row>
    <row r="17" spans="1:6" ht="15" customHeight="1">
      <c r="A17" s="104">
        <v>94</v>
      </c>
      <c r="B17" s="127" t="str">
        <f>IF('1-3'!B97="","",'1-3'!B97)</f>
        <v>大阪</v>
      </c>
      <c r="C17" s="127">
        <f>IF('1-3'!C97="","",'1-3'!C97)</f>
      </c>
      <c r="D17" s="143" t="str">
        <f>IF('1-3'!D97="","",'1-3'!D97)</f>
        <v>大阪府立高等学校養護教諭研究会(府養研)</v>
      </c>
      <c r="E17" s="210">
        <f>IF('2-3'!H98="",'2-3'!E98,'2-3'!H98)</f>
        <v>5000</v>
      </c>
      <c r="F17" s="83">
        <f>IF('2-3'!I98="",'2-3'!G98,'2-3'!I98)</f>
      </c>
    </row>
    <row r="18" spans="1:6" ht="15" customHeight="1">
      <c r="A18" s="104">
        <v>96</v>
      </c>
      <c r="B18" s="127" t="str">
        <f>IF('1-3'!B99="","",'1-3'!B99)</f>
        <v>大阪</v>
      </c>
      <c r="C18" s="127">
        <f>IF('1-3'!C99="","",'1-3'!C99)</f>
      </c>
      <c r="D18" s="143" t="str">
        <f>IF('1-3'!D99="","",'1-3'!D99)</f>
        <v>大阪府高等学校図書館研究会</v>
      </c>
      <c r="E18" s="210">
        <f>IF('2-3'!H100="",'2-3'!E100,'2-3'!H100)</f>
        <v>3000</v>
      </c>
      <c r="F18" s="83">
        <f>IF('2-3'!I100="",'2-3'!G100,'2-3'!I100)</f>
      </c>
    </row>
    <row r="19" spans="1:6" ht="15" customHeight="1" thickBot="1">
      <c r="A19" s="108">
        <v>97</v>
      </c>
      <c r="B19" s="129" t="str">
        <f>IF('1-3'!B100="","",'1-3'!B100)</f>
        <v>大阪</v>
      </c>
      <c r="C19" s="129">
        <f>IF('1-3'!C100="","",'1-3'!C100)</f>
      </c>
      <c r="D19" s="144" t="str">
        <f>IF('1-3'!D100="","",'1-3'!D100)</f>
        <v>大阪府高等学校生活指導研究会</v>
      </c>
      <c r="E19" s="214">
        <f>IF('2-3'!H101="",'2-3'!E101,'2-3'!H101)</f>
        <v>4000</v>
      </c>
      <c r="F19" s="85">
        <f>IF('2-3'!I101="",'2-3'!G101,'2-3'!I101)</f>
      </c>
    </row>
    <row r="20" spans="4:6" ht="15" customHeight="1" thickBot="1">
      <c r="D20" s="80"/>
      <c r="E20" s="80"/>
      <c r="F20" s="81"/>
    </row>
    <row r="21" spans="4:6" ht="15" customHeight="1">
      <c r="D21" s="80"/>
      <c r="E21" s="10" t="s">
        <v>219</v>
      </c>
      <c r="F21" s="182">
        <f>SUM(E4:E19)</f>
        <v>57430</v>
      </c>
    </row>
    <row r="22" spans="4:6" ht="15" customHeight="1">
      <c r="D22" s="80"/>
      <c r="E22" s="39" t="s">
        <v>175</v>
      </c>
      <c r="F22" s="183">
        <f>SUMIF($F$4:$F$19,"◎",$E$4:$E$19)</f>
        <v>11000</v>
      </c>
    </row>
    <row r="23" spans="4:6" ht="15" customHeight="1" thickBot="1">
      <c r="D23" s="80"/>
      <c r="E23" s="82" t="s">
        <v>13</v>
      </c>
      <c r="F23" s="184">
        <f>F21-F22</f>
        <v>46430</v>
      </c>
    </row>
  </sheetData>
  <sheetProtection formatCells="0" selectLockedCells="1"/>
  <mergeCells count="1">
    <mergeCell ref="A1:F1"/>
  </mergeCells>
  <conditionalFormatting sqref="E4:F19">
    <cfRule type="cellIs" priority="35" dxfId="14" operator="notEqual" stopIfTrue="1">
      <formula>'3-3'!#REF!</formula>
    </cfRule>
  </conditionalFormatting>
  <dataValidations count="1">
    <dataValidation type="list" allowBlank="1" showInputMessage="1" showErrorMessage="1" sqref="F4:F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0">
      <selection activeCell="H2" sqref="H2: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2" t="s">
        <v>271</v>
      </c>
      <c r="I1" s="512"/>
      <c r="J1" s="512"/>
      <c r="K1" s="512"/>
    </row>
    <row r="2" spans="8:11" s="1" customFormat="1" ht="18" customHeight="1">
      <c r="H2" s="512" t="s">
        <v>285</v>
      </c>
      <c r="I2" s="512"/>
      <c r="J2" s="512"/>
      <c r="K2" s="512"/>
    </row>
    <row r="3" s="1" customFormat="1" ht="18" customHeight="1">
      <c r="K3" s="2"/>
    </row>
    <row r="4" spans="8:11" s="1" customFormat="1" ht="18" customHeight="1">
      <c r="H4" s="513" t="s">
        <v>311</v>
      </c>
      <c r="I4" s="513"/>
      <c r="J4" s="513"/>
      <c r="K4" s="513"/>
    </row>
    <row r="5" spans="8:11" s="1" customFormat="1" ht="18" customHeight="1">
      <c r="H5" s="563">
        <v>42856</v>
      </c>
      <c r="I5" s="564"/>
      <c r="J5" s="564"/>
      <c r="K5" s="564"/>
    </row>
    <row r="6" spans="1:11" s="1" customFormat="1" ht="18" customHeight="1">
      <c r="A6" s="3" t="s">
        <v>2</v>
      </c>
      <c r="H6" s="4"/>
      <c r="K6" s="11"/>
    </row>
    <row r="7" spans="1:11" s="1" customFormat="1" ht="18" customHeight="1">
      <c r="A7" s="4"/>
      <c r="H7" s="513" t="s">
        <v>272</v>
      </c>
      <c r="I7" s="513"/>
      <c r="J7" s="513"/>
      <c r="K7" s="513"/>
    </row>
    <row r="8" spans="1:11" s="1" customFormat="1" ht="18" customHeight="1">
      <c r="A8" s="4"/>
      <c r="H8" s="513" t="s">
        <v>273</v>
      </c>
      <c r="I8" s="513"/>
      <c r="J8" s="513"/>
      <c r="K8" s="513"/>
    </row>
    <row r="9" spans="1:11" s="1" customFormat="1" ht="42" customHeight="1">
      <c r="A9" s="4"/>
      <c r="H9" s="2"/>
      <c r="K9" s="46"/>
    </row>
    <row r="10" spans="1:11" ht="24" customHeight="1">
      <c r="A10" s="515" t="s">
        <v>255</v>
      </c>
      <c r="B10" s="515"/>
      <c r="C10" s="515"/>
      <c r="D10" s="515"/>
      <c r="E10" s="515"/>
      <c r="F10" s="515"/>
      <c r="G10" s="515"/>
      <c r="H10" s="515"/>
      <c r="I10" s="515"/>
      <c r="J10" s="515"/>
      <c r="K10" s="515"/>
    </row>
    <row r="11" spans="1:11" ht="24" customHeight="1">
      <c r="A11" s="516"/>
      <c r="B11" s="516"/>
      <c r="C11" s="516"/>
      <c r="D11" s="516"/>
      <c r="E11" s="516"/>
      <c r="F11" s="516"/>
      <c r="G11" s="516"/>
      <c r="H11" s="516"/>
      <c r="I11" s="516"/>
      <c r="J11" s="516"/>
      <c r="K11" s="51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7" t="s">
        <v>84</v>
      </c>
      <c r="B14" s="568"/>
      <c r="C14" s="569"/>
      <c r="D14" s="570">
        <v>1190000</v>
      </c>
      <c r="E14" s="571"/>
      <c r="F14" s="572"/>
      <c r="G14" s="573"/>
      <c r="H14" s="574"/>
      <c r="I14" s="574"/>
      <c r="J14" s="574"/>
      <c r="K14" s="6"/>
    </row>
    <row r="15" spans="1:11" ht="39" customHeight="1" thickBot="1">
      <c r="A15" s="19"/>
      <c r="B15" s="18" t="s">
        <v>8</v>
      </c>
      <c r="C15" s="17" t="s">
        <v>9</v>
      </c>
      <c r="D15" s="16" t="s">
        <v>124</v>
      </c>
      <c r="E15" s="16" t="s">
        <v>123</v>
      </c>
      <c r="F15" s="17" t="s">
        <v>10</v>
      </c>
      <c r="G15" s="17" t="s">
        <v>11</v>
      </c>
      <c r="H15" s="448" t="s">
        <v>248</v>
      </c>
      <c r="I15" s="16" t="s">
        <v>12</v>
      </c>
      <c r="J15" s="447" t="s">
        <v>252</v>
      </c>
      <c r="K15" s="23" t="s">
        <v>15</v>
      </c>
    </row>
    <row r="16" spans="1:11" ht="58.5" customHeight="1" thickTop="1">
      <c r="A16" s="30" t="s">
        <v>161</v>
      </c>
      <c r="B16" s="224">
        <f>'随時①-2'!G27</f>
        <v>50000</v>
      </c>
      <c r="C16" s="225">
        <f>'随時①-2'!G28</f>
        <v>0</v>
      </c>
      <c r="D16" s="225">
        <f>'随時①-2'!G29</f>
        <v>47000</v>
      </c>
      <c r="E16" s="225">
        <f>'随時①-2'!G30</f>
        <v>0</v>
      </c>
      <c r="F16" s="225">
        <f>'随時①-2'!G31</f>
        <v>16000</v>
      </c>
      <c r="G16" s="225">
        <f>'随時①-2'!G32</f>
        <v>0</v>
      </c>
      <c r="H16" s="225">
        <f>'随時①-2'!G33</f>
        <v>0</v>
      </c>
      <c r="I16" s="225">
        <f>'随時①-2'!G34</f>
        <v>150000</v>
      </c>
      <c r="J16" s="226">
        <f>'随時①-2'!G35</f>
        <v>0</v>
      </c>
      <c r="K16" s="433">
        <f aca="true" t="shared" si="0" ref="K16:K23">SUM(B16:J16)</f>
        <v>263000</v>
      </c>
    </row>
    <row r="17" spans="1:11" ht="58.5" customHeight="1">
      <c r="A17" s="30" t="s">
        <v>177</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3">
        <f>SUM(B17:J17)</f>
        <v>0</v>
      </c>
    </row>
    <row r="18" spans="1:11" ht="58.5" customHeight="1">
      <c r="A18" s="20" t="s">
        <v>95</v>
      </c>
      <c r="B18" s="434">
        <f>'1-2'!G107</f>
        <v>129000</v>
      </c>
      <c r="C18" s="322">
        <f>'1-2'!G108</f>
        <v>90000</v>
      </c>
      <c r="D18" s="322">
        <f>'1-2'!G109</f>
        <v>26000</v>
      </c>
      <c r="E18" s="322">
        <f>'1-2'!G110</f>
        <v>0</v>
      </c>
      <c r="F18" s="322">
        <f>'1-2'!G111</f>
        <v>7000</v>
      </c>
      <c r="G18" s="322">
        <f>'1-2'!G112</f>
        <v>0</v>
      </c>
      <c r="H18" s="322">
        <f>'1-2'!G113</f>
        <v>0</v>
      </c>
      <c r="I18" s="322">
        <f>'1-2'!G114</f>
        <v>0</v>
      </c>
      <c r="J18" s="435">
        <f>'1-2'!G115</f>
        <v>62430</v>
      </c>
      <c r="K18" s="436">
        <f t="shared" si="0"/>
        <v>314430</v>
      </c>
    </row>
    <row r="19" spans="1:11" ht="58.5" customHeight="1" thickBot="1">
      <c r="A19" s="34" t="s">
        <v>177</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103</v>
      </c>
      <c r="B20" s="441">
        <f>B18-B19</f>
        <v>129000</v>
      </c>
      <c r="C20" s="442">
        <f>C18-C19</f>
        <v>90000</v>
      </c>
      <c r="D20" s="442">
        <f aca="true" t="shared" si="1" ref="D20:J20">D18-D19</f>
        <v>26000</v>
      </c>
      <c r="E20" s="442">
        <f t="shared" si="1"/>
        <v>0</v>
      </c>
      <c r="F20" s="442">
        <f t="shared" si="1"/>
        <v>7000</v>
      </c>
      <c r="G20" s="442">
        <f t="shared" si="1"/>
        <v>0</v>
      </c>
      <c r="H20" s="442">
        <f t="shared" si="1"/>
        <v>0</v>
      </c>
      <c r="I20" s="442">
        <f t="shared" si="1"/>
        <v>0</v>
      </c>
      <c r="J20" s="442">
        <f t="shared" si="1"/>
        <v>51430</v>
      </c>
      <c r="K20" s="443">
        <f t="shared" si="0"/>
        <v>303430</v>
      </c>
    </row>
    <row r="21" spans="1:11" ht="58.5" customHeight="1" thickBot="1">
      <c r="A21" s="32" t="s">
        <v>102</v>
      </c>
      <c r="B21" s="441">
        <f>B16+B18</f>
        <v>179000</v>
      </c>
      <c r="C21" s="441">
        <f aca="true" t="shared" si="2" ref="C21:J21">C16+C18</f>
        <v>90000</v>
      </c>
      <c r="D21" s="441">
        <f t="shared" si="2"/>
        <v>73000</v>
      </c>
      <c r="E21" s="441">
        <f t="shared" si="2"/>
        <v>0</v>
      </c>
      <c r="F21" s="441">
        <f t="shared" si="2"/>
        <v>23000</v>
      </c>
      <c r="G21" s="441">
        <f t="shared" si="2"/>
        <v>0</v>
      </c>
      <c r="H21" s="441">
        <f t="shared" si="2"/>
        <v>0</v>
      </c>
      <c r="I21" s="441">
        <f t="shared" si="2"/>
        <v>150000</v>
      </c>
      <c r="J21" s="441">
        <f t="shared" si="2"/>
        <v>62430</v>
      </c>
      <c r="K21" s="443">
        <f t="shared" si="0"/>
        <v>577430</v>
      </c>
    </row>
    <row r="22" spans="1:11" ht="58.5" customHeight="1">
      <c r="A22" s="30" t="s">
        <v>162</v>
      </c>
      <c r="B22" s="444">
        <v>370000</v>
      </c>
      <c r="C22" s="341">
        <v>40000</v>
      </c>
      <c r="D22" s="341">
        <v>85000</v>
      </c>
      <c r="E22" s="341"/>
      <c r="F22" s="341">
        <v>76800</v>
      </c>
      <c r="G22" s="341"/>
      <c r="H22" s="341"/>
      <c r="I22" s="341"/>
      <c r="J22" s="445">
        <v>40000</v>
      </c>
      <c r="K22" s="433">
        <f t="shared" si="0"/>
        <v>611800</v>
      </c>
    </row>
    <row r="23" spans="1:11" ht="58.5" customHeight="1" thickBot="1">
      <c r="A23" s="22" t="s">
        <v>163</v>
      </c>
      <c r="B23" s="220">
        <f>B21+B22</f>
        <v>549000</v>
      </c>
      <c r="C23" s="221">
        <f>C21+C22</f>
        <v>130000</v>
      </c>
      <c r="D23" s="221">
        <f aca="true" t="shared" si="3" ref="D23:J23">D21+D22</f>
        <v>158000</v>
      </c>
      <c r="E23" s="221">
        <f t="shared" si="3"/>
        <v>0</v>
      </c>
      <c r="F23" s="221">
        <f t="shared" si="3"/>
        <v>99800</v>
      </c>
      <c r="G23" s="221">
        <f t="shared" si="3"/>
        <v>0</v>
      </c>
      <c r="H23" s="221">
        <f t="shared" si="3"/>
        <v>0</v>
      </c>
      <c r="I23" s="221">
        <f t="shared" si="3"/>
        <v>150000</v>
      </c>
      <c r="J23" s="221">
        <f t="shared" si="3"/>
        <v>102430</v>
      </c>
      <c r="K23" s="223">
        <f t="shared" si="0"/>
        <v>1189230</v>
      </c>
    </row>
    <row r="24" spans="1:11" ht="39" customHeight="1" thickBot="1">
      <c r="A24" s="32" t="s">
        <v>104</v>
      </c>
      <c r="B24" s="565" t="s">
        <v>310</v>
      </c>
      <c r="C24" s="565"/>
      <c r="D24" s="565"/>
      <c r="E24" s="565"/>
      <c r="F24" s="565"/>
      <c r="G24" s="565"/>
      <c r="H24" s="565"/>
      <c r="I24" s="565"/>
      <c r="J24" s="565"/>
      <c r="K24" s="566"/>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F13" sqref="F1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140</v>
      </c>
      <c r="B3" s="295" t="s">
        <v>141</v>
      </c>
      <c r="C3" s="60" t="s">
        <v>143</v>
      </c>
      <c r="D3" s="96" t="s">
        <v>145</v>
      </c>
      <c r="E3" s="96" t="s">
        <v>0</v>
      </c>
      <c r="F3" s="96" t="s">
        <v>197</v>
      </c>
      <c r="G3" s="96" t="s">
        <v>91</v>
      </c>
      <c r="H3" s="474" t="s">
        <v>245</v>
      </c>
      <c r="I3" s="96" t="s">
        <v>92</v>
      </c>
      <c r="J3" s="96" t="s">
        <v>93</v>
      </c>
      <c r="K3" s="228" t="s">
        <v>111</v>
      </c>
      <c r="L3" s="296" t="s">
        <v>94</v>
      </c>
      <c r="M3" s="29" t="s">
        <v>99</v>
      </c>
    </row>
    <row r="4" spans="1:13" ht="13.5" customHeight="1">
      <c r="A4" s="241"/>
      <c r="B4" s="242"/>
      <c r="C4" s="243"/>
      <c r="D4" s="244">
        <v>1</v>
      </c>
      <c r="E4" s="245" t="s">
        <v>137</v>
      </c>
      <c r="F4" s="246" t="s">
        <v>224</v>
      </c>
      <c r="G4" s="247">
        <v>57430</v>
      </c>
      <c r="H4" s="248">
        <v>1</v>
      </c>
      <c r="I4" s="248">
        <v>1</v>
      </c>
      <c r="J4" s="249">
        <f>G4*H4*I4</f>
        <v>57430</v>
      </c>
      <c r="K4" s="250"/>
      <c r="L4" s="251" t="s">
        <v>225</v>
      </c>
      <c r="M4" s="29">
        <f aca="true" t="shared" si="0" ref="M4:M67">IF(K4="◎",J4,"")</f>
      </c>
    </row>
    <row r="5" spans="1:13" ht="13.5" customHeight="1">
      <c r="A5" s="252">
        <v>2</v>
      </c>
      <c r="B5" s="253" t="s">
        <v>290</v>
      </c>
      <c r="C5" s="254" t="s">
        <v>291</v>
      </c>
      <c r="D5" s="255">
        <v>2</v>
      </c>
      <c r="E5" s="256" t="s">
        <v>85</v>
      </c>
      <c r="F5" s="257" t="s">
        <v>292</v>
      </c>
      <c r="G5" s="258">
        <v>1000</v>
      </c>
      <c r="H5" s="259">
        <v>5</v>
      </c>
      <c r="I5" s="259">
        <v>1</v>
      </c>
      <c r="J5" s="260">
        <f>G5*H5*I5</f>
        <v>5000</v>
      </c>
      <c r="K5" s="261"/>
      <c r="L5" s="262"/>
      <c r="M5" s="29">
        <f t="shared" si="0"/>
      </c>
    </row>
    <row r="6" spans="1:13" ht="13.5" customHeight="1">
      <c r="A6" s="252">
        <v>2</v>
      </c>
      <c r="B6" s="253" t="s">
        <v>290</v>
      </c>
      <c r="C6" s="254" t="s">
        <v>291</v>
      </c>
      <c r="D6" s="255">
        <v>3</v>
      </c>
      <c r="E6" s="256" t="s">
        <v>87</v>
      </c>
      <c r="F6" s="257" t="s">
        <v>293</v>
      </c>
      <c r="G6" s="258">
        <v>7000</v>
      </c>
      <c r="H6" s="259">
        <v>1</v>
      </c>
      <c r="I6" s="259">
        <v>1</v>
      </c>
      <c r="J6" s="260">
        <f aca="true" t="shared" si="1" ref="J6:J69">G6*H6*I6</f>
        <v>7000</v>
      </c>
      <c r="K6" s="261"/>
      <c r="L6" s="262"/>
      <c r="M6" s="29">
        <f t="shared" si="0"/>
      </c>
    </row>
    <row r="7" spans="1:13" ht="13.5" customHeight="1">
      <c r="A7" s="252">
        <v>3</v>
      </c>
      <c r="B7" s="253" t="s">
        <v>294</v>
      </c>
      <c r="C7" s="257" t="s">
        <v>295</v>
      </c>
      <c r="D7" s="255">
        <v>4</v>
      </c>
      <c r="E7" s="256" t="s">
        <v>85</v>
      </c>
      <c r="F7" s="257" t="s">
        <v>296</v>
      </c>
      <c r="G7" s="258">
        <v>20000</v>
      </c>
      <c r="H7" s="259">
        <v>1</v>
      </c>
      <c r="I7" s="259">
        <v>1</v>
      </c>
      <c r="J7" s="260">
        <f t="shared" si="1"/>
        <v>20000</v>
      </c>
      <c r="K7" s="261"/>
      <c r="L7" s="262"/>
      <c r="M7" s="29">
        <f t="shared" si="0"/>
      </c>
    </row>
    <row r="8" spans="1:13" ht="13.5" customHeight="1">
      <c r="A8" s="252">
        <v>3</v>
      </c>
      <c r="B8" s="253" t="s">
        <v>294</v>
      </c>
      <c r="C8" s="257" t="s">
        <v>295</v>
      </c>
      <c r="D8" s="264">
        <v>5</v>
      </c>
      <c r="E8" s="256" t="s">
        <v>125</v>
      </c>
      <c r="F8" s="257" t="s">
        <v>297</v>
      </c>
      <c r="G8" s="258">
        <v>2000</v>
      </c>
      <c r="H8" s="259">
        <v>4</v>
      </c>
      <c r="I8" s="259">
        <v>1</v>
      </c>
      <c r="J8" s="260">
        <f t="shared" si="1"/>
        <v>8000</v>
      </c>
      <c r="K8" s="261"/>
      <c r="L8" s="262"/>
      <c r="M8" s="29">
        <f t="shared" si="0"/>
      </c>
    </row>
    <row r="9" spans="1:13" ht="13.5" customHeight="1">
      <c r="A9" s="252">
        <v>4</v>
      </c>
      <c r="B9" s="253" t="s">
        <v>298</v>
      </c>
      <c r="C9" s="257" t="s">
        <v>301</v>
      </c>
      <c r="D9" s="255">
        <v>6</v>
      </c>
      <c r="E9" s="256" t="s">
        <v>85</v>
      </c>
      <c r="F9" s="257" t="s">
        <v>299</v>
      </c>
      <c r="G9" s="258">
        <v>20000</v>
      </c>
      <c r="H9" s="259">
        <v>1</v>
      </c>
      <c r="I9" s="259">
        <v>1</v>
      </c>
      <c r="J9" s="260">
        <f t="shared" si="1"/>
        <v>20000</v>
      </c>
      <c r="K9" s="261"/>
      <c r="L9" s="262"/>
      <c r="M9" s="29">
        <f t="shared" si="0"/>
      </c>
    </row>
    <row r="10" spans="1:13" ht="13.5" customHeight="1">
      <c r="A10" s="252">
        <v>5</v>
      </c>
      <c r="B10" s="253" t="s">
        <v>300</v>
      </c>
      <c r="C10" s="257" t="s">
        <v>276</v>
      </c>
      <c r="D10" s="255">
        <v>7</v>
      </c>
      <c r="E10" s="257" t="s">
        <v>85</v>
      </c>
      <c r="F10" s="257" t="s">
        <v>278</v>
      </c>
      <c r="G10" s="258">
        <v>50000</v>
      </c>
      <c r="H10" s="259">
        <v>1</v>
      </c>
      <c r="I10" s="259">
        <v>1</v>
      </c>
      <c r="J10" s="260">
        <f t="shared" si="1"/>
        <v>50000</v>
      </c>
      <c r="K10" s="261"/>
      <c r="L10" s="262"/>
      <c r="M10" s="29">
        <f t="shared" si="0"/>
      </c>
    </row>
    <row r="11" spans="1:13" ht="13.5" customHeight="1">
      <c r="A11" s="252">
        <v>5</v>
      </c>
      <c r="B11" s="253" t="s">
        <v>300</v>
      </c>
      <c r="C11" s="257" t="s">
        <v>276</v>
      </c>
      <c r="D11" s="264">
        <v>8</v>
      </c>
      <c r="E11" s="265" t="s">
        <v>85</v>
      </c>
      <c r="F11" s="265" t="s">
        <v>278</v>
      </c>
      <c r="G11" s="266">
        <v>20000</v>
      </c>
      <c r="H11" s="267">
        <v>1</v>
      </c>
      <c r="I11" s="267">
        <v>1</v>
      </c>
      <c r="J11" s="260">
        <f t="shared" si="1"/>
        <v>20000</v>
      </c>
      <c r="K11" s="268"/>
      <c r="L11" s="269"/>
      <c r="M11" s="29">
        <f t="shared" si="0"/>
      </c>
    </row>
    <row r="12" spans="1:13" ht="13.5" customHeight="1">
      <c r="A12" s="252">
        <v>5</v>
      </c>
      <c r="B12" s="253" t="s">
        <v>300</v>
      </c>
      <c r="C12" s="257" t="s">
        <v>276</v>
      </c>
      <c r="D12" s="264">
        <v>9</v>
      </c>
      <c r="E12" s="256" t="s">
        <v>85</v>
      </c>
      <c r="F12" s="256" t="s">
        <v>278</v>
      </c>
      <c r="G12" s="270">
        <v>14000</v>
      </c>
      <c r="H12" s="271">
        <v>1</v>
      </c>
      <c r="I12" s="271">
        <v>1</v>
      </c>
      <c r="J12" s="260">
        <f t="shared" si="1"/>
        <v>14000</v>
      </c>
      <c r="K12" s="272"/>
      <c r="L12" s="273"/>
      <c r="M12" s="29">
        <f t="shared" si="0"/>
      </c>
    </row>
    <row r="13" spans="1:13" ht="13.5" customHeight="1">
      <c r="A13" s="252">
        <v>6</v>
      </c>
      <c r="B13" s="253" t="s">
        <v>302</v>
      </c>
      <c r="C13" s="257" t="s">
        <v>303</v>
      </c>
      <c r="D13" s="274">
        <v>10</v>
      </c>
      <c r="E13" s="257" t="s">
        <v>125</v>
      </c>
      <c r="F13" s="256" t="s">
        <v>304</v>
      </c>
      <c r="G13" s="270">
        <v>15000</v>
      </c>
      <c r="H13" s="271">
        <v>1</v>
      </c>
      <c r="I13" s="271">
        <v>1</v>
      </c>
      <c r="J13" s="260">
        <f t="shared" si="1"/>
        <v>15000</v>
      </c>
      <c r="K13" s="261"/>
      <c r="L13" s="262"/>
      <c r="M13" s="29">
        <f t="shared" si="0"/>
      </c>
    </row>
    <row r="14" spans="1:13" ht="13.5" customHeight="1">
      <c r="A14" s="252"/>
      <c r="B14" s="253"/>
      <c r="C14" s="254"/>
      <c r="D14" s="255">
        <v>11</v>
      </c>
      <c r="E14" s="257" t="s">
        <v>86</v>
      </c>
      <c r="F14" s="257" t="s">
        <v>305</v>
      </c>
      <c r="G14" s="258">
        <v>50000</v>
      </c>
      <c r="H14" s="259">
        <v>1</v>
      </c>
      <c r="I14" s="259">
        <v>1</v>
      </c>
      <c r="J14" s="260">
        <f t="shared" si="1"/>
        <v>50000</v>
      </c>
      <c r="K14" s="275"/>
      <c r="L14" s="262"/>
      <c r="M14" s="29">
        <f t="shared" si="0"/>
      </c>
    </row>
    <row r="15" spans="1:13" ht="13.5" customHeight="1">
      <c r="A15" s="252"/>
      <c r="B15" s="253"/>
      <c r="C15" s="254"/>
      <c r="D15" s="255">
        <v>12</v>
      </c>
      <c r="E15" s="276" t="s">
        <v>125</v>
      </c>
      <c r="F15" s="276" t="s">
        <v>306</v>
      </c>
      <c r="G15" s="277">
        <v>3000</v>
      </c>
      <c r="H15" s="278">
        <v>1</v>
      </c>
      <c r="I15" s="278">
        <v>1</v>
      </c>
      <c r="J15" s="260">
        <f t="shared" si="1"/>
        <v>3000</v>
      </c>
      <c r="K15" s="279"/>
      <c r="L15" s="280"/>
      <c r="M15" s="29">
        <f t="shared" si="0"/>
      </c>
    </row>
    <row r="16" spans="1:13" ht="13.5" customHeight="1">
      <c r="A16" s="252"/>
      <c r="B16" s="253"/>
      <c r="C16" s="254"/>
      <c r="D16" s="255">
        <v>13</v>
      </c>
      <c r="E16" s="257" t="s">
        <v>137</v>
      </c>
      <c r="F16" s="257" t="s">
        <v>307</v>
      </c>
      <c r="G16" s="258">
        <v>2000</v>
      </c>
      <c r="H16" s="259">
        <v>1</v>
      </c>
      <c r="I16" s="259">
        <v>1</v>
      </c>
      <c r="J16" s="260">
        <f t="shared" si="1"/>
        <v>2000</v>
      </c>
      <c r="K16" s="261"/>
      <c r="L16" s="262"/>
      <c r="M16" s="29">
        <f t="shared" si="0"/>
      </c>
    </row>
    <row r="17" spans="1:13" ht="13.5" customHeight="1">
      <c r="A17" s="252"/>
      <c r="B17" s="253"/>
      <c r="C17" s="254"/>
      <c r="D17" s="255">
        <v>14</v>
      </c>
      <c r="E17" s="257" t="s">
        <v>86</v>
      </c>
      <c r="F17" s="257" t="s">
        <v>308</v>
      </c>
      <c r="G17" s="258">
        <v>40000</v>
      </c>
      <c r="H17" s="259">
        <v>1</v>
      </c>
      <c r="I17" s="259">
        <v>1</v>
      </c>
      <c r="J17" s="260">
        <f t="shared" si="1"/>
        <v>40000</v>
      </c>
      <c r="K17" s="261"/>
      <c r="L17" s="262"/>
      <c r="M17" s="29">
        <f t="shared" si="0"/>
      </c>
    </row>
    <row r="18" spans="1:13" ht="13.5" customHeight="1">
      <c r="A18" s="252"/>
      <c r="B18" s="253"/>
      <c r="C18" s="254"/>
      <c r="D18" s="255">
        <v>15</v>
      </c>
      <c r="E18" s="257" t="s">
        <v>137</v>
      </c>
      <c r="F18" s="257" t="s">
        <v>309</v>
      </c>
      <c r="G18" s="258">
        <v>3000</v>
      </c>
      <c r="H18" s="259">
        <v>1</v>
      </c>
      <c r="I18" s="259">
        <v>1</v>
      </c>
      <c r="J18" s="260">
        <f t="shared" si="1"/>
        <v>3000</v>
      </c>
      <c r="K18" s="261"/>
      <c r="L18" s="262"/>
      <c r="M18" s="29">
        <f t="shared" si="0"/>
      </c>
    </row>
    <row r="19" spans="1:13" ht="13.5" customHeight="1">
      <c r="A19" s="252"/>
      <c r="B19" s="253"/>
      <c r="C19" s="254"/>
      <c r="D19" s="255">
        <v>16</v>
      </c>
      <c r="E19" s="257"/>
      <c r="F19" s="257"/>
      <c r="G19" s="258"/>
      <c r="H19" s="259"/>
      <c r="I19" s="259"/>
      <c r="J19" s="260">
        <f t="shared" si="1"/>
        <v>0</v>
      </c>
      <c r="K19" s="261"/>
      <c r="L19" s="262"/>
      <c r="M19" s="29">
        <f t="shared" si="0"/>
      </c>
    </row>
    <row r="20" spans="1:13" ht="13.5" customHeight="1">
      <c r="A20" s="252"/>
      <c r="B20" s="253"/>
      <c r="C20" s="254"/>
      <c r="D20" s="255">
        <v>17</v>
      </c>
      <c r="E20" s="257"/>
      <c r="F20" s="257"/>
      <c r="G20" s="258"/>
      <c r="H20" s="259"/>
      <c r="I20" s="259"/>
      <c r="J20" s="260">
        <f t="shared" si="1"/>
        <v>0</v>
      </c>
      <c r="K20" s="261"/>
      <c r="L20" s="262"/>
      <c r="M20" s="29">
        <f t="shared" si="0"/>
      </c>
    </row>
    <row r="21" spans="1:13" ht="13.5" customHeight="1">
      <c r="A21" s="252"/>
      <c r="B21" s="253"/>
      <c r="C21" s="254"/>
      <c r="D21" s="255">
        <v>18</v>
      </c>
      <c r="E21" s="257"/>
      <c r="F21" s="257"/>
      <c r="G21" s="258"/>
      <c r="H21" s="259"/>
      <c r="I21" s="259"/>
      <c r="J21" s="260">
        <f t="shared" si="1"/>
        <v>0</v>
      </c>
      <c r="K21" s="261"/>
      <c r="L21" s="262"/>
      <c r="M21" s="29">
        <f t="shared" si="0"/>
      </c>
    </row>
    <row r="22" spans="1:13" ht="13.5" customHeight="1">
      <c r="A22" s="252"/>
      <c r="B22" s="253"/>
      <c r="C22" s="254"/>
      <c r="D22" s="255">
        <v>19</v>
      </c>
      <c r="E22" s="257"/>
      <c r="F22" s="257"/>
      <c r="G22" s="258"/>
      <c r="H22" s="259"/>
      <c r="I22" s="259"/>
      <c r="J22" s="260">
        <f t="shared" si="1"/>
        <v>0</v>
      </c>
      <c r="K22" s="261"/>
      <c r="L22" s="262"/>
      <c r="M22" s="29">
        <f t="shared" si="0"/>
      </c>
    </row>
    <row r="23" spans="1:13" ht="13.5" customHeight="1">
      <c r="A23" s="252"/>
      <c r="B23" s="253"/>
      <c r="C23" s="254"/>
      <c r="D23" s="255">
        <v>20</v>
      </c>
      <c r="E23" s="257"/>
      <c r="F23" s="257"/>
      <c r="G23" s="258"/>
      <c r="H23" s="259"/>
      <c r="I23" s="259"/>
      <c r="J23" s="260">
        <f t="shared" si="1"/>
        <v>0</v>
      </c>
      <c r="K23" s="261"/>
      <c r="L23" s="262"/>
      <c r="M23" s="29">
        <f t="shared" si="0"/>
      </c>
    </row>
    <row r="24" spans="1:13" ht="13.5" customHeight="1">
      <c r="A24" s="252"/>
      <c r="B24" s="281"/>
      <c r="C24" s="254"/>
      <c r="D24" s="255">
        <v>21</v>
      </c>
      <c r="E24" s="256"/>
      <c r="F24" s="257"/>
      <c r="G24" s="258"/>
      <c r="H24" s="259"/>
      <c r="I24" s="259"/>
      <c r="J24" s="260">
        <f t="shared" si="1"/>
        <v>0</v>
      </c>
      <c r="K24" s="261"/>
      <c r="L24" s="262"/>
      <c r="M24" s="29">
        <f t="shared" si="0"/>
      </c>
    </row>
    <row r="25" spans="1:13" ht="13.5" customHeight="1">
      <c r="A25" s="252"/>
      <c r="B25" s="281"/>
      <c r="C25" s="254"/>
      <c r="D25" s="255">
        <v>22</v>
      </c>
      <c r="E25" s="256"/>
      <c r="F25" s="257"/>
      <c r="G25" s="258"/>
      <c r="H25" s="259"/>
      <c r="I25" s="259"/>
      <c r="J25" s="260">
        <f t="shared" si="1"/>
        <v>0</v>
      </c>
      <c r="K25" s="261"/>
      <c r="L25" s="262"/>
      <c r="M25" s="29">
        <f t="shared" si="0"/>
      </c>
    </row>
    <row r="26" spans="1:13" ht="13.5" customHeight="1">
      <c r="A26" s="252"/>
      <c r="B26" s="281"/>
      <c r="C26" s="254"/>
      <c r="D26" s="255">
        <v>23</v>
      </c>
      <c r="E26" s="256"/>
      <c r="F26" s="257"/>
      <c r="G26" s="258"/>
      <c r="H26" s="259"/>
      <c r="I26" s="259"/>
      <c r="J26" s="260">
        <f t="shared" si="1"/>
        <v>0</v>
      </c>
      <c r="K26" s="261"/>
      <c r="L26" s="262"/>
      <c r="M26" s="29">
        <f t="shared" si="0"/>
      </c>
    </row>
    <row r="27" spans="1:13" ht="13.5" customHeight="1">
      <c r="A27" s="252"/>
      <c r="B27" s="281"/>
      <c r="C27" s="254"/>
      <c r="D27" s="255">
        <v>24</v>
      </c>
      <c r="E27" s="256"/>
      <c r="F27" s="257"/>
      <c r="G27" s="258"/>
      <c r="H27" s="259"/>
      <c r="I27" s="259"/>
      <c r="J27" s="260">
        <f t="shared" si="1"/>
        <v>0</v>
      </c>
      <c r="K27" s="261"/>
      <c r="L27" s="262"/>
      <c r="M27" s="29">
        <f t="shared" si="0"/>
      </c>
    </row>
    <row r="28" spans="1:13" ht="13.5" customHeight="1">
      <c r="A28" s="252"/>
      <c r="B28" s="281"/>
      <c r="C28" s="254"/>
      <c r="D28" s="264">
        <v>25</v>
      </c>
      <c r="E28" s="256"/>
      <c r="F28" s="257"/>
      <c r="G28" s="258"/>
      <c r="H28" s="259"/>
      <c r="I28" s="259"/>
      <c r="J28" s="260">
        <f t="shared" si="1"/>
        <v>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7"/>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2" t="s">
        <v>96</v>
      </c>
      <c r="G106" s="230" t="s">
        <v>97</v>
      </c>
      <c r="H106" s="575" t="s">
        <v>175</v>
      </c>
      <c r="I106" s="575"/>
      <c r="J106" s="575" t="s">
        <v>172</v>
      </c>
      <c r="K106" s="580"/>
    </row>
    <row r="107" spans="4:11" ht="14.25" thickTop="1">
      <c r="D107" s="67"/>
      <c r="F107" s="297" t="s">
        <v>85</v>
      </c>
      <c r="G107" s="227">
        <f>SUMIF($E$4:$E$103,F107,$J$4:$J$103)</f>
        <v>129000</v>
      </c>
      <c r="H107" s="576">
        <f>SUMIF($E$4:$E$103,F107,$M$4:$M$103)</f>
        <v>0</v>
      </c>
      <c r="I107" s="576"/>
      <c r="J107" s="576">
        <f aca="true" t="shared" si="5" ref="J107:J115">G107-H107</f>
        <v>129000</v>
      </c>
      <c r="K107" s="581"/>
    </row>
    <row r="108" spans="4:11" ht="13.5">
      <c r="D108" s="67"/>
      <c r="F108" s="298" t="s">
        <v>86</v>
      </c>
      <c r="G108" s="227">
        <f aca="true" t="shared" si="6" ref="G108:G115">SUMIF($E$4:$E$103,F108,$J$4:$J$103)</f>
        <v>90000</v>
      </c>
      <c r="H108" s="577">
        <f aca="true" t="shared" si="7" ref="H108:H114">SUMIF($E$4:$E$103,F108,$M$4:$M$103)</f>
        <v>0</v>
      </c>
      <c r="I108" s="577"/>
      <c r="J108" s="577">
        <f t="shared" si="5"/>
        <v>90000</v>
      </c>
      <c r="K108" s="582"/>
    </row>
    <row r="109" spans="4:11" ht="13.5">
      <c r="D109" s="67"/>
      <c r="F109" s="298" t="s">
        <v>125</v>
      </c>
      <c r="G109" s="227">
        <f t="shared" si="6"/>
        <v>26000</v>
      </c>
      <c r="H109" s="577">
        <f t="shared" si="7"/>
        <v>0</v>
      </c>
      <c r="I109" s="577"/>
      <c r="J109" s="577">
        <f t="shared" si="5"/>
        <v>26000</v>
      </c>
      <c r="K109" s="582"/>
    </row>
    <row r="110" spans="4:11" ht="13.5">
      <c r="D110" s="67"/>
      <c r="F110" s="298" t="s">
        <v>126</v>
      </c>
      <c r="G110" s="227">
        <f t="shared" si="6"/>
        <v>0</v>
      </c>
      <c r="H110" s="577">
        <f t="shared" si="7"/>
        <v>0</v>
      </c>
      <c r="I110" s="577"/>
      <c r="J110" s="577">
        <f t="shared" si="5"/>
        <v>0</v>
      </c>
      <c r="K110" s="582"/>
    </row>
    <row r="111" spans="4:11" ht="13.5">
      <c r="D111" s="67"/>
      <c r="F111" s="298" t="s">
        <v>87</v>
      </c>
      <c r="G111" s="227">
        <f t="shared" si="6"/>
        <v>7000</v>
      </c>
      <c r="H111" s="577">
        <f t="shared" si="7"/>
        <v>0</v>
      </c>
      <c r="I111" s="577"/>
      <c r="J111" s="577">
        <f t="shared" si="5"/>
        <v>7000</v>
      </c>
      <c r="K111" s="582"/>
    </row>
    <row r="112" spans="4:11" ht="13.5">
      <c r="D112" s="67"/>
      <c r="F112" s="298" t="s">
        <v>88</v>
      </c>
      <c r="G112" s="227">
        <f t="shared" si="6"/>
        <v>0</v>
      </c>
      <c r="H112" s="577">
        <f t="shared" si="7"/>
        <v>0</v>
      </c>
      <c r="I112" s="577"/>
      <c r="J112" s="577">
        <f t="shared" si="5"/>
        <v>0</v>
      </c>
      <c r="K112" s="582"/>
    </row>
    <row r="113" spans="4:11" ht="13.5">
      <c r="D113" s="67"/>
      <c r="F113" s="298" t="s">
        <v>89</v>
      </c>
      <c r="G113" s="227">
        <f t="shared" si="6"/>
        <v>0</v>
      </c>
      <c r="H113" s="577">
        <f t="shared" si="7"/>
        <v>0</v>
      </c>
      <c r="I113" s="577"/>
      <c r="J113" s="577">
        <f t="shared" si="5"/>
        <v>0</v>
      </c>
      <c r="K113" s="582"/>
    </row>
    <row r="114" spans="4:11" ht="13.5">
      <c r="D114" s="67"/>
      <c r="F114" s="298" t="s">
        <v>90</v>
      </c>
      <c r="G114" s="227">
        <f t="shared" si="6"/>
        <v>0</v>
      </c>
      <c r="H114" s="577">
        <f t="shared" si="7"/>
        <v>0</v>
      </c>
      <c r="I114" s="577"/>
      <c r="J114" s="577">
        <f t="shared" si="5"/>
        <v>0</v>
      </c>
      <c r="K114" s="582"/>
    </row>
    <row r="115" spans="4:11" ht="14.25" thickBot="1">
      <c r="D115" s="67"/>
      <c r="F115" s="428" t="s">
        <v>137</v>
      </c>
      <c r="G115" s="429">
        <f t="shared" si="6"/>
        <v>62430</v>
      </c>
      <c r="H115" s="578">
        <f>SUMIF($E$4:$E$103,F115,$M$4:$M$103)+'1-3'!F121</f>
        <v>11000</v>
      </c>
      <c r="I115" s="578"/>
      <c r="J115" s="578">
        <f t="shared" si="5"/>
        <v>51430</v>
      </c>
      <c r="K115" s="583"/>
    </row>
    <row r="116" spans="4:11" ht="15" thickBot="1" thickTop="1">
      <c r="D116" s="47"/>
      <c r="F116" s="426" t="s">
        <v>15</v>
      </c>
      <c r="G116" s="427">
        <f>SUM(G107:G115)</f>
        <v>314430</v>
      </c>
      <c r="H116" s="579">
        <f>SUM(H107:I115)</f>
        <v>11000</v>
      </c>
      <c r="I116" s="579"/>
      <c r="J116" s="579">
        <f>SUM(J107:K115)</f>
        <v>303430</v>
      </c>
      <c r="K116" s="584"/>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37" activePane="bottomLeft" state="frozen"/>
      <selection pane="topLeft" activeCell="B16" sqref="B16:K23"/>
      <selection pane="bottomLeft" activeCell="E100" sqref="E100"/>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2" t="s">
        <v>257</v>
      </c>
      <c r="B1" s="562"/>
      <c r="C1" s="562"/>
      <c r="D1" s="562"/>
      <c r="E1" s="562"/>
      <c r="F1" s="562"/>
    </row>
    <row r="2" spans="1:6" ht="15" customHeight="1" thickBot="1">
      <c r="A2" s="8"/>
      <c r="B2" s="7" t="s">
        <v>243</v>
      </c>
      <c r="C2" s="87"/>
      <c r="E2" s="72" t="s">
        <v>184</v>
      </c>
      <c r="F2" s="464">
        <f>SUM(E4:E118)</f>
        <v>57430</v>
      </c>
    </row>
    <row r="3" spans="1:6" ht="15" customHeight="1" thickBot="1">
      <c r="A3" s="99" t="s">
        <v>17</v>
      </c>
      <c r="B3" s="100" t="s">
        <v>203</v>
      </c>
      <c r="C3" s="100" t="s">
        <v>204</v>
      </c>
      <c r="D3" s="98" t="s">
        <v>18</v>
      </c>
      <c r="E3" s="41" t="s">
        <v>182</v>
      </c>
      <c r="F3" s="101" t="s">
        <v>19</v>
      </c>
    </row>
    <row r="4" spans="1:6" ht="15" customHeight="1">
      <c r="A4" s="102">
        <v>1</v>
      </c>
      <c r="B4" s="159" t="s">
        <v>205</v>
      </c>
      <c r="C4" s="159" t="s">
        <v>206</v>
      </c>
      <c r="D4" s="160" t="s">
        <v>20</v>
      </c>
      <c r="E4" s="186">
        <v>8000</v>
      </c>
      <c r="F4" s="103" t="s">
        <v>289</v>
      </c>
    </row>
    <row r="5" spans="1:6" ht="15" customHeight="1">
      <c r="A5" s="104">
        <v>2</v>
      </c>
      <c r="B5" s="161" t="s">
        <v>205</v>
      </c>
      <c r="C5" s="161" t="s">
        <v>206</v>
      </c>
      <c r="D5" s="162" t="s">
        <v>21</v>
      </c>
      <c r="E5" s="187"/>
      <c r="F5" s="78"/>
    </row>
    <row r="6" spans="1:6" ht="15" customHeight="1">
      <c r="A6" s="104">
        <v>3</v>
      </c>
      <c r="B6" s="161" t="s">
        <v>205</v>
      </c>
      <c r="C6" s="161" t="s">
        <v>206</v>
      </c>
      <c r="D6" s="162" t="s">
        <v>22</v>
      </c>
      <c r="E6" s="187"/>
      <c r="F6" s="78"/>
    </row>
    <row r="7" spans="1:6" ht="15" customHeight="1">
      <c r="A7" s="104">
        <v>4</v>
      </c>
      <c r="B7" s="161" t="s">
        <v>205</v>
      </c>
      <c r="C7" s="161" t="s">
        <v>206</v>
      </c>
      <c r="D7" s="162" t="s">
        <v>23</v>
      </c>
      <c r="E7" s="187"/>
      <c r="F7" s="78"/>
    </row>
    <row r="8" spans="1:6" ht="15" customHeight="1">
      <c r="A8" s="104">
        <v>5</v>
      </c>
      <c r="B8" s="161" t="s">
        <v>205</v>
      </c>
      <c r="C8" s="161" t="s">
        <v>206</v>
      </c>
      <c r="D8" s="162" t="s">
        <v>24</v>
      </c>
      <c r="E8" s="187"/>
      <c r="F8" s="78"/>
    </row>
    <row r="9" spans="1:6" ht="15" customHeight="1">
      <c r="A9" s="104">
        <v>6</v>
      </c>
      <c r="B9" s="161" t="s">
        <v>205</v>
      </c>
      <c r="C9" s="161" t="s">
        <v>206</v>
      </c>
      <c r="D9" s="162" t="s">
        <v>25</v>
      </c>
      <c r="E9" s="187"/>
      <c r="F9" s="78"/>
    </row>
    <row r="10" spans="1:6" ht="15" customHeight="1">
      <c r="A10" s="104">
        <v>7</v>
      </c>
      <c r="B10" s="161" t="s">
        <v>205</v>
      </c>
      <c r="C10" s="161" t="s">
        <v>206</v>
      </c>
      <c r="D10" s="162" t="s">
        <v>26</v>
      </c>
      <c r="E10" s="187"/>
      <c r="F10" s="78"/>
    </row>
    <row r="11" spans="1:6" ht="15" customHeight="1">
      <c r="A11" s="104">
        <v>8</v>
      </c>
      <c r="B11" s="161" t="s">
        <v>205</v>
      </c>
      <c r="C11" s="161" t="s">
        <v>206</v>
      </c>
      <c r="D11" s="162" t="s">
        <v>27</v>
      </c>
      <c r="E11" s="187"/>
      <c r="F11" s="78"/>
    </row>
    <row r="12" spans="1:6" ht="15" customHeight="1">
      <c r="A12" s="104">
        <v>9</v>
      </c>
      <c r="B12" s="161" t="s">
        <v>205</v>
      </c>
      <c r="C12" s="161" t="s">
        <v>206</v>
      </c>
      <c r="D12" s="162" t="s">
        <v>28</v>
      </c>
      <c r="E12" s="187"/>
      <c r="F12" s="78"/>
    </row>
    <row r="13" spans="1:6" ht="15" customHeight="1">
      <c r="A13" s="104">
        <v>10</v>
      </c>
      <c r="B13" s="161" t="s">
        <v>205</v>
      </c>
      <c r="C13" s="161" t="s">
        <v>206</v>
      </c>
      <c r="D13" s="162" t="s">
        <v>29</v>
      </c>
      <c r="E13" s="187"/>
      <c r="F13" s="78"/>
    </row>
    <row r="14" spans="1:6" ht="15" customHeight="1">
      <c r="A14" s="104">
        <v>11</v>
      </c>
      <c r="B14" s="161" t="s">
        <v>205</v>
      </c>
      <c r="C14" s="161" t="s">
        <v>206</v>
      </c>
      <c r="D14" s="162" t="s">
        <v>30</v>
      </c>
      <c r="E14" s="187"/>
      <c r="F14" s="78"/>
    </row>
    <row r="15" spans="1:6" ht="15" customHeight="1">
      <c r="A15" s="104">
        <v>12</v>
      </c>
      <c r="B15" s="161" t="s">
        <v>205</v>
      </c>
      <c r="C15" s="161" t="s">
        <v>206</v>
      </c>
      <c r="D15" s="162" t="s">
        <v>31</v>
      </c>
      <c r="E15" s="187"/>
      <c r="F15" s="78"/>
    </row>
    <row r="16" spans="1:6" ht="15" customHeight="1">
      <c r="A16" s="104">
        <v>13</v>
      </c>
      <c r="B16" s="161" t="s">
        <v>205</v>
      </c>
      <c r="C16" s="161" t="s">
        <v>206</v>
      </c>
      <c r="D16" s="162" t="s">
        <v>32</v>
      </c>
      <c r="E16" s="187"/>
      <c r="F16" s="78"/>
    </row>
    <row r="17" spans="1:6" ht="15" customHeight="1">
      <c r="A17" s="104">
        <v>14</v>
      </c>
      <c r="B17" s="161" t="s">
        <v>205</v>
      </c>
      <c r="C17" s="161" t="s">
        <v>206</v>
      </c>
      <c r="D17" s="162" t="s">
        <v>33</v>
      </c>
      <c r="E17" s="187"/>
      <c r="F17" s="78"/>
    </row>
    <row r="18" spans="1:6" ht="15" customHeight="1">
      <c r="A18" s="104">
        <v>15</v>
      </c>
      <c r="B18" s="161" t="s">
        <v>205</v>
      </c>
      <c r="C18" s="161" t="s">
        <v>206</v>
      </c>
      <c r="D18" s="162" t="s">
        <v>76</v>
      </c>
      <c r="E18" s="187"/>
      <c r="F18" s="78"/>
    </row>
    <row r="19" spans="1:6" ht="15" customHeight="1">
      <c r="A19" s="104">
        <v>16</v>
      </c>
      <c r="B19" s="161" t="s">
        <v>205</v>
      </c>
      <c r="C19" s="161" t="s">
        <v>206</v>
      </c>
      <c r="D19" s="162" t="s">
        <v>77</v>
      </c>
      <c r="E19" s="187"/>
      <c r="F19" s="78"/>
    </row>
    <row r="20" spans="1:6" ht="15" customHeight="1">
      <c r="A20" s="104">
        <v>17</v>
      </c>
      <c r="B20" s="161" t="s">
        <v>205</v>
      </c>
      <c r="C20" s="161" t="s">
        <v>206</v>
      </c>
      <c r="D20" s="162" t="s">
        <v>78</v>
      </c>
      <c r="E20" s="187"/>
      <c r="F20" s="78"/>
    </row>
    <row r="21" spans="1:6" ht="15" customHeight="1">
      <c r="A21" s="104">
        <v>18</v>
      </c>
      <c r="B21" s="161" t="s">
        <v>205</v>
      </c>
      <c r="C21" s="161" t="s">
        <v>206</v>
      </c>
      <c r="D21" s="162" t="s">
        <v>79</v>
      </c>
      <c r="E21" s="187"/>
      <c r="F21" s="78"/>
    </row>
    <row r="22" spans="1:6" ht="15" customHeight="1">
      <c r="A22" s="104">
        <v>19</v>
      </c>
      <c r="B22" s="161" t="s">
        <v>205</v>
      </c>
      <c r="C22" s="161" t="s">
        <v>206</v>
      </c>
      <c r="D22" s="162" t="s">
        <v>80</v>
      </c>
      <c r="E22" s="187"/>
      <c r="F22" s="78"/>
    </row>
    <row r="23" spans="1:6" ht="15" customHeight="1">
      <c r="A23" s="104">
        <v>20</v>
      </c>
      <c r="B23" s="161" t="s">
        <v>205</v>
      </c>
      <c r="C23" s="163" t="s">
        <v>206</v>
      </c>
      <c r="D23" s="164" t="s">
        <v>237</v>
      </c>
      <c r="E23" s="188"/>
      <c r="F23" s="107"/>
    </row>
    <row r="24" spans="1:6" ht="15" customHeight="1">
      <c r="A24" s="104">
        <v>21</v>
      </c>
      <c r="B24" s="161" t="s">
        <v>205</v>
      </c>
      <c r="C24" s="165" t="s">
        <v>207</v>
      </c>
      <c r="D24" s="166" t="s">
        <v>136</v>
      </c>
      <c r="E24" s="189">
        <v>9000</v>
      </c>
      <c r="F24" s="77"/>
    </row>
    <row r="25" spans="1:6" ht="15" customHeight="1">
      <c r="A25" s="104">
        <v>22</v>
      </c>
      <c r="B25" s="161" t="s">
        <v>205</v>
      </c>
      <c r="C25" s="161" t="s">
        <v>207</v>
      </c>
      <c r="D25" s="162" t="s">
        <v>227</v>
      </c>
      <c r="E25" s="187"/>
      <c r="F25" s="78"/>
    </row>
    <row r="26" spans="1:6" ht="15" customHeight="1">
      <c r="A26" s="104">
        <v>23</v>
      </c>
      <c r="B26" s="161" t="s">
        <v>205</v>
      </c>
      <c r="C26" s="161" t="s">
        <v>207</v>
      </c>
      <c r="D26" s="162" t="s">
        <v>228</v>
      </c>
      <c r="E26" s="187"/>
      <c r="F26" s="78"/>
    </row>
    <row r="27" spans="1:6" ht="15" customHeight="1">
      <c r="A27" s="104">
        <v>24</v>
      </c>
      <c r="B27" s="161" t="s">
        <v>205</v>
      </c>
      <c r="C27" s="161" t="s">
        <v>207</v>
      </c>
      <c r="D27" s="162" t="s">
        <v>208</v>
      </c>
      <c r="E27" s="187"/>
      <c r="F27" s="78"/>
    </row>
    <row r="28" spans="1:6" ht="15" customHeight="1">
      <c r="A28" s="104">
        <v>25</v>
      </c>
      <c r="B28" s="161" t="s">
        <v>205</v>
      </c>
      <c r="C28" s="161" t="s">
        <v>207</v>
      </c>
      <c r="D28" s="162" t="s">
        <v>81</v>
      </c>
      <c r="E28" s="187"/>
      <c r="F28" s="78"/>
    </row>
    <row r="29" spans="1:6" ht="15" customHeight="1">
      <c r="A29" s="104">
        <v>26</v>
      </c>
      <c r="B29" s="161" t="s">
        <v>205</v>
      </c>
      <c r="C29" s="161" t="s">
        <v>207</v>
      </c>
      <c r="D29" s="162" t="s">
        <v>82</v>
      </c>
      <c r="E29" s="187"/>
      <c r="F29" s="78"/>
    </row>
    <row r="30" spans="1:6" ht="15" customHeight="1">
      <c r="A30" s="104">
        <v>27</v>
      </c>
      <c r="B30" s="161" t="s">
        <v>205</v>
      </c>
      <c r="C30" s="163" t="s">
        <v>207</v>
      </c>
      <c r="D30" s="164" t="s">
        <v>229</v>
      </c>
      <c r="E30" s="188"/>
      <c r="F30" s="107"/>
    </row>
    <row r="31" spans="1:6" ht="15" customHeight="1">
      <c r="A31" s="104">
        <v>28</v>
      </c>
      <c r="B31" s="161" t="s">
        <v>205</v>
      </c>
      <c r="C31" s="169" t="s">
        <v>209</v>
      </c>
      <c r="D31" s="170" t="s">
        <v>38</v>
      </c>
      <c r="E31" s="190">
        <v>3000</v>
      </c>
      <c r="F31" s="171" t="s">
        <v>289</v>
      </c>
    </row>
    <row r="32" spans="1:6" ht="15" customHeight="1">
      <c r="A32" s="104">
        <v>29</v>
      </c>
      <c r="B32" s="161" t="s">
        <v>205</v>
      </c>
      <c r="C32" s="159"/>
      <c r="D32" s="160" t="s">
        <v>50</v>
      </c>
      <c r="E32" s="186"/>
      <c r="F32" s="103"/>
    </row>
    <row r="33" spans="1:6" ht="15" customHeight="1">
      <c r="A33" s="104">
        <v>30</v>
      </c>
      <c r="B33" s="161" t="s">
        <v>205</v>
      </c>
      <c r="C33" s="161"/>
      <c r="D33" s="162" t="s">
        <v>49</v>
      </c>
      <c r="E33" s="187"/>
      <c r="F33" s="78"/>
    </row>
    <row r="34" spans="1:6" ht="15" customHeight="1">
      <c r="A34" s="104">
        <v>31</v>
      </c>
      <c r="B34" s="161" t="s">
        <v>205</v>
      </c>
      <c r="C34" s="161"/>
      <c r="D34" s="162" t="s">
        <v>41</v>
      </c>
      <c r="E34" s="187"/>
      <c r="F34" s="78"/>
    </row>
    <row r="35" spans="1:6" ht="15" customHeight="1">
      <c r="A35" s="104">
        <v>32</v>
      </c>
      <c r="B35" s="161" t="s">
        <v>205</v>
      </c>
      <c r="C35" s="161"/>
      <c r="D35" s="162" t="s">
        <v>40</v>
      </c>
      <c r="E35" s="187"/>
      <c r="F35" s="78"/>
    </row>
    <row r="36" spans="1:6" ht="15" customHeight="1">
      <c r="A36" s="104">
        <v>33</v>
      </c>
      <c r="B36" s="161" t="s">
        <v>205</v>
      </c>
      <c r="C36" s="161"/>
      <c r="D36" s="162" t="s">
        <v>43</v>
      </c>
      <c r="E36" s="187"/>
      <c r="F36" s="78"/>
    </row>
    <row r="37" spans="1:6" ht="15" customHeight="1">
      <c r="A37" s="104">
        <v>34</v>
      </c>
      <c r="B37" s="161" t="s">
        <v>205</v>
      </c>
      <c r="C37" s="161"/>
      <c r="D37" s="162" t="s">
        <v>47</v>
      </c>
      <c r="E37" s="187"/>
      <c r="F37" s="78"/>
    </row>
    <row r="38" spans="1:6" ht="15" customHeight="1">
      <c r="A38" s="104">
        <v>35</v>
      </c>
      <c r="B38" s="161" t="s">
        <v>205</v>
      </c>
      <c r="C38" s="161"/>
      <c r="D38" s="162" t="s">
        <v>230</v>
      </c>
      <c r="E38" s="187"/>
      <c r="F38" s="78"/>
    </row>
    <row r="39" spans="1:6" ht="15" customHeight="1">
      <c r="A39" s="104">
        <v>36</v>
      </c>
      <c r="B39" s="161" t="s">
        <v>205</v>
      </c>
      <c r="C39" s="161"/>
      <c r="D39" s="162" t="s">
        <v>48</v>
      </c>
      <c r="E39" s="187"/>
      <c r="F39" s="78"/>
    </row>
    <row r="40" spans="1:6" ht="15" customHeight="1">
      <c r="A40" s="104">
        <v>37</v>
      </c>
      <c r="B40" s="161" t="s">
        <v>205</v>
      </c>
      <c r="C40" s="161"/>
      <c r="D40" s="162" t="s">
        <v>44</v>
      </c>
      <c r="E40" s="187"/>
      <c r="F40" s="78"/>
    </row>
    <row r="41" spans="1:6" ht="15" customHeight="1">
      <c r="A41" s="104">
        <v>38</v>
      </c>
      <c r="B41" s="161" t="s">
        <v>205</v>
      </c>
      <c r="C41" s="161"/>
      <c r="D41" s="162" t="s">
        <v>210</v>
      </c>
      <c r="E41" s="187"/>
      <c r="F41" s="78"/>
    </row>
    <row r="42" spans="1:6" ht="15" customHeight="1">
      <c r="A42" s="104">
        <v>39</v>
      </c>
      <c r="B42" s="161" t="s">
        <v>205</v>
      </c>
      <c r="C42" s="161"/>
      <c r="D42" s="162" t="s">
        <v>51</v>
      </c>
      <c r="E42" s="187"/>
      <c r="F42" s="78"/>
    </row>
    <row r="43" spans="1:6" ht="15" customHeight="1">
      <c r="A43" s="104">
        <v>40</v>
      </c>
      <c r="B43" s="161" t="s">
        <v>205</v>
      </c>
      <c r="C43" s="161"/>
      <c r="D43" s="162" t="s">
        <v>53</v>
      </c>
      <c r="E43" s="187"/>
      <c r="F43" s="78"/>
    </row>
    <row r="44" spans="1:6" ht="15" customHeight="1">
      <c r="A44" s="104">
        <v>41</v>
      </c>
      <c r="B44" s="161" t="s">
        <v>205</v>
      </c>
      <c r="C44" s="161"/>
      <c r="D44" s="162" t="s">
        <v>52</v>
      </c>
      <c r="E44" s="187"/>
      <c r="F44" s="78"/>
    </row>
    <row r="45" spans="1:6" ht="15" customHeight="1">
      <c r="A45" s="104">
        <v>42</v>
      </c>
      <c r="B45" s="161" t="s">
        <v>205</v>
      </c>
      <c r="C45" s="161"/>
      <c r="D45" s="162" t="s">
        <v>42</v>
      </c>
      <c r="E45" s="187"/>
      <c r="F45" s="78"/>
    </row>
    <row r="46" spans="1:6" ht="15" customHeight="1">
      <c r="A46" s="104">
        <v>43</v>
      </c>
      <c r="B46" s="161" t="s">
        <v>205</v>
      </c>
      <c r="C46" s="161"/>
      <c r="D46" s="162" t="s">
        <v>45</v>
      </c>
      <c r="E46" s="187"/>
      <c r="F46" s="78"/>
    </row>
    <row r="47" spans="1:6" ht="15" customHeight="1">
      <c r="A47" s="104">
        <v>44</v>
      </c>
      <c r="B47" s="161" t="s">
        <v>205</v>
      </c>
      <c r="C47" s="161"/>
      <c r="D47" s="162" t="s">
        <v>46</v>
      </c>
      <c r="E47" s="187"/>
      <c r="F47" s="78"/>
    </row>
    <row r="48" spans="1:6" ht="15" customHeight="1" thickBot="1">
      <c r="A48" s="108">
        <v>45</v>
      </c>
      <c r="B48" s="167" t="s">
        <v>205</v>
      </c>
      <c r="C48" s="167"/>
      <c r="D48" s="168" t="s">
        <v>231</v>
      </c>
      <c r="E48" s="191">
        <v>3600</v>
      </c>
      <c r="F48" s="79"/>
    </row>
    <row r="49" spans="1:6" ht="15" customHeight="1">
      <c r="A49" s="102">
        <v>46</v>
      </c>
      <c r="B49" s="159" t="s">
        <v>211</v>
      </c>
      <c r="C49" s="159" t="s">
        <v>206</v>
      </c>
      <c r="D49" s="160" t="s">
        <v>241</v>
      </c>
      <c r="E49" s="186"/>
      <c r="F49" s="103"/>
    </row>
    <row r="50" spans="1:6" ht="15" customHeight="1">
      <c r="A50" s="104">
        <v>47</v>
      </c>
      <c r="B50" s="161" t="s">
        <v>211</v>
      </c>
      <c r="C50" s="161" t="s">
        <v>206</v>
      </c>
      <c r="D50" s="162" t="s">
        <v>242</v>
      </c>
      <c r="E50" s="187"/>
      <c r="F50" s="78"/>
    </row>
    <row r="51" spans="1:6" ht="15" customHeight="1">
      <c r="A51" s="104">
        <v>48</v>
      </c>
      <c r="B51" s="161" t="s">
        <v>211</v>
      </c>
      <c r="C51" s="161" t="s">
        <v>206</v>
      </c>
      <c r="D51" s="162" t="s">
        <v>34</v>
      </c>
      <c r="E51" s="187"/>
      <c r="F51" s="78"/>
    </row>
    <row r="52" spans="1:6" ht="15" customHeight="1">
      <c r="A52" s="104">
        <v>49</v>
      </c>
      <c r="B52" s="161" t="s">
        <v>211</v>
      </c>
      <c r="C52" s="161" t="s">
        <v>206</v>
      </c>
      <c r="D52" s="162" t="s">
        <v>232</v>
      </c>
      <c r="E52" s="187"/>
      <c r="F52" s="78"/>
    </row>
    <row r="53" spans="1:6" ht="15" customHeight="1">
      <c r="A53" s="104">
        <v>50</v>
      </c>
      <c r="B53" s="161" t="s">
        <v>211</v>
      </c>
      <c r="C53" s="161" t="s">
        <v>206</v>
      </c>
      <c r="D53" s="162" t="s">
        <v>238</v>
      </c>
      <c r="E53" s="187"/>
      <c r="F53" s="78"/>
    </row>
    <row r="54" spans="1:6" ht="15" customHeight="1">
      <c r="A54" s="104">
        <v>51</v>
      </c>
      <c r="B54" s="161" t="s">
        <v>211</v>
      </c>
      <c r="C54" s="161" t="s">
        <v>206</v>
      </c>
      <c r="D54" s="162" t="s">
        <v>128</v>
      </c>
      <c r="E54" s="187"/>
      <c r="F54" s="78"/>
    </row>
    <row r="55" spans="1:6" ht="15" customHeight="1">
      <c r="A55" s="104">
        <v>52</v>
      </c>
      <c r="B55" s="161" t="s">
        <v>211</v>
      </c>
      <c r="C55" s="161" t="s">
        <v>206</v>
      </c>
      <c r="D55" s="162" t="s">
        <v>132</v>
      </c>
      <c r="E55" s="187"/>
      <c r="F55" s="78"/>
    </row>
    <row r="56" spans="1:6" ht="15" customHeight="1">
      <c r="A56" s="104">
        <v>53</v>
      </c>
      <c r="B56" s="161" t="s">
        <v>211</v>
      </c>
      <c r="C56" s="161" t="s">
        <v>206</v>
      </c>
      <c r="D56" s="162" t="s">
        <v>133</v>
      </c>
      <c r="E56" s="187"/>
      <c r="F56" s="78"/>
    </row>
    <row r="57" spans="1:6" ht="15" customHeight="1">
      <c r="A57" s="104">
        <v>54</v>
      </c>
      <c r="B57" s="161" t="s">
        <v>211</v>
      </c>
      <c r="C57" s="163" t="s">
        <v>206</v>
      </c>
      <c r="D57" s="164" t="s">
        <v>134</v>
      </c>
      <c r="E57" s="188"/>
      <c r="F57" s="107"/>
    </row>
    <row r="58" spans="1:6" ht="15" customHeight="1">
      <c r="A58" s="104">
        <v>55</v>
      </c>
      <c r="B58" s="161" t="s">
        <v>211</v>
      </c>
      <c r="C58" s="159" t="s">
        <v>207</v>
      </c>
      <c r="D58" s="160" t="s">
        <v>233</v>
      </c>
      <c r="E58" s="186"/>
      <c r="F58" s="103"/>
    </row>
    <row r="59" spans="1:6" ht="15" customHeight="1">
      <c r="A59" s="104">
        <v>56</v>
      </c>
      <c r="B59" s="161" t="s">
        <v>211</v>
      </c>
      <c r="C59" s="161" t="s">
        <v>207</v>
      </c>
      <c r="D59" s="162" t="s">
        <v>212</v>
      </c>
      <c r="E59" s="187"/>
      <c r="F59" s="78"/>
    </row>
    <row r="60" spans="1:6" ht="15" customHeight="1">
      <c r="A60" s="104">
        <v>57</v>
      </c>
      <c r="B60" s="161" t="s">
        <v>211</v>
      </c>
      <c r="C60" s="161" t="s">
        <v>207</v>
      </c>
      <c r="D60" s="162" t="s">
        <v>83</v>
      </c>
      <c r="E60" s="187"/>
      <c r="F60" s="78"/>
    </row>
    <row r="61" spans="1:6" ht="15" customHeight="1">
      <c r="A61" s="104">
        <v>58</v>
      </c>
      <c r="B61" s="161" t="s">
        <v>211</v>
      </c>
      <c r="C61" s="161" t="s">
        <v>207</v>
      </c>
      <c r="D61" s="162" t="s">
        <v>234</v>
      </c>
      <c r="E61" s="187"/>
      <c r="F61" s="78"/>
    </row>
    <row r="62" spans="1:6" ht="15" customHeight="1">
      <c r="A62" s="104">
        <v>59</v>
      </c>
      <c r="B62" s="161" t="s">
        <v>211</v>
      </c>
      <c r="C62" s="163" t="s">
        <v>207</v>
      </c>
      <c r="D62" s="164" t="s">
        <v>135</v>
      </c>
      <c r="E62" s="188"/>
      <c r="F62" s="107"/>
    </row>
    <row r="63" spans="1:6" ht="15" customHeight="1">
      <c r="A63" s="104">
        <v>60</v>
      </c>
      <c r="B63" s="161" t="s">
        <v>211</v>
      </c>
      <c r="C63" s="159" t="s">
        <v>209</v>
      </c>
      <c r="D63" s="160" t="s">
        <v>127</v>
      </c>
      <c r="E63" s="186">
        <v>1800</v>
      </c>
      <c r="F63" s="103"/>
    </row>
    <row r="64" spans="1:6" ht="15" customHeight="1">
      <c r="A64" s="104">
        <v>61</v>
      </c>
      <c r="B64" s="161" t="s">
        <v>211</v>
      </c>
      <c r="C64" s="163" t="s">
        <v>209</v>
      </c>
      <c r="D64" s="164" t="s">
        <v>129</v>
      </c>
      <c r="E64" s="188"/>
      <c r="F64" s="107"/>
    </row>
    <row r="65" spans="1:6" ht="15" customHeight="1">
      <c r="A65" s="104">
        <v>62</v>
      </c>
      <c r="B65" s="161" t="s">
        <v>211</v>
      </c>
      <c r="C65" s="159"/>
      <c r="D65" s="160" t="s">
        <v>56</v>
      </c>
      <c r="E65" s="186"/>
      <c r="F65" s="103"/>
    </row>
    <row r="66" spans="1:6" ht="15" customHeight="1">
      <c r="A66" s="104">
        <v>63</v>
      </c>
      <c r="B66" s="161" t="s">
        <v>211</v>
      </c>
      <c r="C66" s="161"/>
      <c r="D66" s="162" t="s">
        <v>55</v>
      </c>
      <c r="E66" s="187"/>
      <c r="F66" s="78"/>
    </row>
    <row r="67" spans="1:6" ht="15" customHeight="1">
      <c r="A67" s="104">
        <v>64</v>
      </c>
      <c r="B67" s="161" t="s">
        <v>211</v>
      </c>
      <c r="C67" s="161"/>
      <c r="D67" s="162" t="s">
        <v>59</v>
      </c>
      <c r="E67" s="187"/>
      <c r="F67" s="78"/>
    </row>
    <row r="68" spans="1:6" ht="15" customHeight="1">
      <c r="A68" s="104">
        <v>65</v>
      </c>
      <c r="B68" s="161" t="s">
        <v>211</v>
      </c>
      <c r="C68" s="161"/>
      <c r="D68" s="162" t="s">
        <v>57</v>
      </c>
      <c r="E68" s="187"/>
      <c r="F68" s="78"/>
    </row>
    <row r="69" spans="1:6" ht="15" customHeight="1">
      <c r="A69" s="104">
        <v>66</v>
      </c>
      <c r="B69" s="161" t="s">
        <v>211</v>
      </c>
      <c r="C69" s="163"/>
      <c r="D69" s="164" t="s">
        <v>239</v>
      </c>
      <c r="E69" s="188"/>
      <c r="F69" s="107"/>
    </row>
    <row r="70" spans="1:6" ht="15" customHeight="1">
      <c r="A70" s="104">
        <v>67</v>
      </c>
      <c r="B70" s="161" t="s">
        <v>211</v>
      </c>
      <c r="C70" s="165"/>
      <c r="D70" s="166" t="s">
        <v>58</v>
      </c>
      <c r="E70" s="189"/>
      <c r="F70" s="77"/>
    </row>
    <row r="71" spans="1:6" ht="15" customHeight="1">
      <c r="A71" s="104">
        <v>68</v>
      </c>
      <c r="B71" s="161" t="s">
        <v>211</v>
      </c>
      <c r="C71" s="161"/>
      <c r="D71" s="162" t="s">
        <v>60</v>
      </c>
      <c r="E71" s="187"/>
      <c r="F71" s="78"/>
    </row>
    <row r="72" spans="1:6" ht="15" customHeight="1">
      <c r="A72" s="104">
        <v>69</v>
      </c>
      <c r="B72" s="161" t="s">
        <v>211</v>
      </c>
      <c r="C72" s="161"/>
      <c r="D72" s="162" t="s">
        <v>61</v>
      </c>
      <c r="E72" s="187"/>
      <c r="F72" s="78"/>
    </row>
    <row r="73" spans="1:6" ht="15" customHeight="1">
      <c r="A73" s="104">
        <v>70</v>
      </c>
      <c r="B73" s="161" t="s">
        <v>211</v>
      </c>
      <c r="C73" s="161"/>
      <c r="D73" s="162" t="s">
        <v>54</v>
      </c>
      <c r="E73" s="187"/>
      <c r="F73" s="78"/>
    </row>
    <row r="74" spans="1:6" ht="15" customHeight="1">
      <c r="A74" s="104">
        <v>71</v>
      </c>
      <c r="B74" s="161" t="s">
        <v>211</v>
      </c>
      <c r="C74" s="161"/>
      <c r="D74" s="162" t="s">
        <v>116</v>
      </c>
      <c r="E74" s="187"/>
      <c r="F74" s="78"/>
    </row>
    <row r="75" spans="1:6" ht="15" customHeight="1">
      <c r="A75" s="104">
        <v>72</v>
      </c>
      <c r="B75" s="161" t="s">
        <v>211</v>
      </c>
      <c r="C75" s="161"/>
      <c r="D75" s="162" t="s">
        <v>213</v>
      </c>
      <c r="E75" s="187"/>
      <c r="F75" s="78"/>
    </row>
    <row r="76" spans="1:6" ht="15" customHeight="1">
      <c r="A76" s="104">
        <v>73</v>
      </c>
      <c r="B76" s="161" t="s">
        <v>211</v>
      </c>
      <c r="C76" s="161"/>
      <c r="D76" s="162" t="s">
        <v>214</v>
      </c>
      <c r="E76" s="187"/>
      <c r="F76" s="78"/>
    </row>
    <row r="77" spans="1:6" ht="15" customHeight="1">
      <c r="A77" s="104">
        <v>74</v>
      </c>
      <c r="B77" s="161" t="s">
        <v>211</v>
      </c>
      <c r="C77" s="161"/>
      <c r="D77" s="162" t="s">
        <v>240</v>
      </c>
      <c r="E77" s="187"/>
      <c r="F77" s="78"/>
    </row>
    <row r="78" spans="1:6" ht="15" customHeight="1" thickBot="1">
      <c r="A78" s="108">
        <v>75</v>
      </c>
      <c r="B78" s="167" t="s">
        <v>235</v>
      </c>
      <c r="C78" s="167"/>
      <c r="D78" s="168" t="s">
        <v>62</v>
      </c>
      <c r="E78" s="191"/>
      <c r="F78" s="79"/>
    </row>
    <row r="79" spans="1:6" ht="15" customHeight="1">
      <c r="A79" s="102">
        <v>76</v>
      </c>
      <c r="B79" s="159" t="s">
        <v>215</v>
      </c>
      <c r="C79" s="159" t="s">
        <v>206</v>
      </c>
      <c r="D79" s="160" t="s">
        <v>35</v>
      </c>
      <c r="E79" s="186"/>
      <c r="F79" s="103"/>
    </row>
    <row r="80" spans="1:6" ht="15" customHeight="1">
      <c r="A80" s="104">
        <v>77</v>
      </c>
      <c r="B80" s="161" t="s">
        <v>215</v>
      </c>
      <c r="C80" s="163" t="s">
        <v>206</v>
      </c>
      <c r="D80" s="164" t="s">
        <v>36</v>
      </c>
      <c r="E80" s="188"/>
      <c r="F80" s="107"/>
    </row>
    <row r="81" spans="1:6" ht="15" customHeight="1">
      <c r="A81" s="104">
        <v>78</v>
      </c>
      <c r="B81" s="161" t="s">
        <v>215</v>
      </c>
      <c r="C81" s="169" t="s">
        <v>207</v>
      </c>
      <c r="D81" s="170" t="s">
        <v>37</v>
      </c>
      <c r="E81" s="190"/>
      <c r="F81" s="171"/>
    </row>
    <row r="82" spans="1:6" ht="15" customHeight="1">
      <c r="A82" s="104">
        <v>79</v>
      </c>
      <c r="B82" s="161" t="s">
        <v>215</v>
      </c>
      <c r="C82" s="169" t="s">
        <v>209</v>
      </c>
      <c r="D82" s="170" t="s">
        <v>39</v>
      </c>
      <c r="E82" s="190">
        <v>1000</v>
      </c>
      <c r="F82" s="171"/>
    </row>
    <row r="83" spans="1:6" ht="15" customHeight="1">
      <c r="A83" s="104">
        <v>80</v>
      </c>
      <c r="B83" s="161" t="s">
        <v>215</v>
      </c>
      <c r="C83" s="159"/>
      <c r="D83" s="160" t="s">
        <v>75</v>
      </c>
      <c r="E83" s="186"/>
      <c r="F83" s="103"/>
    </row>
    <row r="84" spans="1:6" ht="15" customHeight="1">
      <c r="A84" s="104">
        <v>81</v>
      </c>
      <c r="B84" s="161" t="s">
        <v>215</v>
      </c>
      <c r="C84" s="161"/>
      <c r="D84" s="162" t="s">
        <v>63</v>
      </c>
      <c r="E84" s="187"/>
      <c r="F84" s="78"/>
    </row>
    <row r="85" spans="1:6" ht="15" customHeight="1">
      <c r="A85" s="104">
        <v>82</v>
      </c>
      <c r="B85" s="161" t="s">
        <v>215</v>
      </c>
      <c r="C85" s="161"/>
      <c r="D85" s="162" t="s">
        <v>71</v>
      </c>
      <c r="E85" s="187">
        <v>2000</v>
      </c>
      <c r="F85" s="78"/>
    </row>
    <row r="86" spans="1:6" ht="15" customHeight="1">
      <c r="A86" s="104">
        <v>83</v>
      </c>
      <c r="B86" s="161" t="s">
        <v>215</v>
      </c>
      <c r="C86" s="161"/>
      <c r="D86" s="162" t="s">
        <v>67</v>
      </c>
      <c r="E86" s="187">
        <v>3000</v>
      </c>
      <c r="F86" s="78"/>
    </row>
    <row r="87" spans="1:6" ht="15" customHeight="1">
      <c r="A87" s="104">
        <v>84</v>
      </c>
      <c r="B87" s="161" t="s">
        <v>215</v>
      </c>
      <c r="C87" s="161"/>
      <c r="D87" s="162" t="s">
        <v>70</v>
      </c>
      <c r="E87" s="187"/>
      <c r="F87" s="78"/>
    </row>
    <row r="88" spans="1:6" ht="15" customHeight="1">
      <c r="A88" s="104">
        <v>85</v>
      </c>
      <c r="B88" s="161" t="s">
        <v>215</v>
      </c>
      <c r="C88" s="161"/>
      <c r="D88" s="162" t="s">
        <v>65</v>
      </c>
      <c r="E88" s="187">
        <v>2000</v>
      </c>
      <c r="F88" s="78"/>
    </row>
    <row r="89" spans="1:6" ht="15" customHeight="1">
      <c r="A89" s="104">
        <v>86</v>
      </c>
      <c r="B89" s="161" t="s">
        <v>215</v>
      </c>
      <c r="C89" s="161"/>
      <c r="D89" s="162" t="s">
        <v>73</v>
      </c>
      <c r="E89" s="187"/>
      <c r="F89" s="78"/>
    </row>
    <row r="90" spans="1:6" ht="15" customHeight="1">
      <c r="A90" s="104">
        <v>87</v>
      </c>
      <c r="B90" s="161" t="s">
        <v>215</v>
      </c>
      <c r="C90" s="161"/>
      <c r="D90" s="162" t="s">
        <v>130</v>
      </c>
      <c r="E90" s="187"/>
      <c r="F90" s="78"/>
    </row>
    <row r="91" spans="1:6" ht="15" customHeight="1">
      <c r="A91" s="104">
        <v>88</v>
      </c>
      <c r="B91" s="161" t="s">
        <v>215</v>
      </c>
      <c r="C91" s="161"/>
      <c r="D91" s="162" t="s">
        <v>216</v>
      </c>
      <c r="E91" s="187"/>
      <c r="F91" s="78"/>
    </row>
    <row r="92" spans="1:6" ht="15" customHeight="1">
      <c r="A92" s="104">
        <v>89</v>
      </c>
      <c r="B92" s="161" t="s">
        <v>215</v>
      </c>
      <c r="C92" s="161"/>
      <c r="D92" s="162" t="s">
        <v>74</v>
      </c>
      <c r="E92" s="187"/>
      <c r="F92" s="78"/>
    </row>
    <row r="93" spans="1:6" ht="15" customHeight="1">
      <c r="A93" s="104">
        <v>90</v>
      </c>
      <c r="B93" s="161" t="s">
        <v>215</v>
      </c>
      <c r="C93" s="161"/>
      <c r="D93" s="162" t="s">
        <v>69</v>
      </c>
      <c r="E93" s="187">
        <v>2580</v>
      </c>
      <c r="F93" s="78"/>
    </row>
    <row r="94" spans="1:6" ht="15" customHeight="1">
      <c r="A94" s="104">
        <v>91</v>
      </c>
      <c r="B94" s="161" t="s">
        <v>215</v>
      </c>
      <c r="C94" s="161"/>
      <c r="D94" s="162" t="s">
        <v>66</v>
      </c>
      <c r="E94" s="187">
        <v>3050</v>
      </c>
      <c r="F94" s="78"/>
    </row>
    <row r="95" spans="1:6" ht="15" customHeight="1">
      <c r="A95" s="104">
        <v>92</v>
      </c>
      <c r="B95" s="161" t="s">
        <v>215</v>
      </c>
      <c r="C95" s="161"/>
      <c r="D95" s="162" t="s">
        <v>64</v>
      </c>
      <c r="E95" s="187">
        <v>4000</v>
      </c>
      <c r="F95" s="78"/>
    </row>
    <row r="96" spans="1:6" ht="15" customHeight="1">
      <c r="A96" s="104">
        <v>93</v>
      </c>
      <c r="B96" s="161" t="s">
        <v>215</v>
      </c>
      <c r="C96" s="161"/>
      <c r="D96" s="162" t="s">
        <v>72</v>
      </c>
      <c r="E96" s="187">
        <v>2400</v>
      </c>
      <c r="F96" s="78"/>
    </row>
    <row r="97" spans="1:6" ht="15" customHeight="1">
      <c r="A97" s="104">
        <v>94</v>
      </c>
      <c r="B97" s="161" t="s">
        <v>215</v>
      </c>
      <c r="C97" s="161"/>
      <c r="D97" s="162" t="s">
        <v>131</v>
      </c>
      <c r="E97" s="187">
        <v>5000</v>
      </c>
      <c r="F97" s="78"/>
    </row>
    <row r="98" spans="1:6" ht="15" customHeight="1">
      <c r="A98" s="104">
        <v>95</v>
      </c>
      <c r="B98" s="161" t="s">
        <v>215</v>
      </c>
      <c r="C98" s="161"/>
      <c r="D98" s="162" t="s">
        <v>236</v>
      </c>
      <c r="E98" s="187"/>
      <c r="F98" s="78"/>
    </row>
    <row r="99" spans="1:6" ht="15" customHeight="1">
      <c r="A99" s="104">
        <v>96</v>
      </c>
      <c r="B99" s="161" t="s">
        <v>215</v>
      </c>
      <c r="C99" s="161"/>
      <c r="D99" s="162" t="s">
        <v>68</v>
      </c>
      <c r="E99" s="187">
        <v>3000</v>
      </c>
      <c r="F99" s="78"/>
    </row>
    <row r="100" spans="1:6" ht="15" customHeight="1">
      <c r="A100" s="104">
        <v>97</v>
      </c>
      <c r="B100" s="161" t="s">
        <v>215</v>
      </c>
      <c r="C100" s="161"/>
      <c r="D100" s="162" t="s">
        <v>138</v>
      </c>
      <c r="E100" s="187">
        <v>4000</v>
      </c>
      <c r="F100" s="78"/>
    </row>
    <row r="101" spans="1:6" ht="15" customHeight="1">
      <c r="A101" s="104">
        <v>98</v>
      </c>
      <c r="B101" s="161" t="s">
        <v>215</v>
      </c>
      <c r="C101" s="161"/>
      <c r="D101" s="162" t="s">
        <v>195</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183</v>
      </c>
      <c r="F120" s="182">
        <f>SUM(E4:E118)</f>
        <v>57430</v>
      </c>
    </row>
    <row r="121" spans="4:6" ht="15" customHeight="1">
      <c r="D121" s="80"/>
      <c r="E121" s="39" t="s">
        <v>175</v>
      </c>
      <c r="F121" s="183">
        <f>SUMIF(F4:F118,"◎",E4:E118)</f>
        <v>11000</v>
      </c>
    </row>
    <row r="122" spans="4:6" ht="15" customHeight="1" thickBot="1">
      <c r="D122" s="80"/>
      <c r="E122" s="82" t="s">
        <v>13</v>
      </c>
      <c r="F122" s="184">
        <f>F120-F121</f>
        <v>46430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9">
      <selection activeCell="B27" sqref="B27:K2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12" t="s">
        <v>271</v>
      </c>
      <c r="I1" s="512"/>
      <c r="J1" s="512"/>
      <c r="K1" s="512"/>
    </row>
    <row r="2" spans="8:11" s="1" customFormat="1" ht="18" customHeight="1">
      <c r="H2" s="512" t="s">
        <v>285</v>
      </c>
      <c r="I2" s="512"/>
      <c r="J2" s="512"/>
      <c r="K2" s="512"/>
    </row>
    <row r="3" s="1" customFormat="1" ht="18" customHeight="1">
      <c r="K3" s="2"/>
    </row>
    <row r="4" spans="8:11" s="1" customFormat="1" ht="18" customHeight="1">
      <c r="H4" s="513" t="s">
        <v>345</v>
      </c>
      <c r="I4" s="513"/>
      <c r="J4" s="513"/>
      <c r="K4" s="513"/>
    </row>
    <row r="5" spans="8:11" s="1" customFormat="1" ht="18" customHeight="1">
      <c r="H5" s="563">
        <v>42970</v>
      </c>
      <c r="I5" s="564"/>
      <c r="J5" s="564"/>
      <c r="K5" s="564"/>
    </row>
    <row r="6" spans="1:11" s="1" customFormat="1" ht="18" customHeight="1">
      <c r="A6" s="3" t="s">
        <v>2</v>
      </c>
      <c r="H6" s="4"/>
      <c r="K6" s="11"/>
    </row>
    <row r="7" spans="1:11" s="1" customFormat="1" ht="18" customHeight="1">
      <c r="A7" s="4"/>
      <c r="H7" s="513" t="s">
        <v>272</v>
      </c>
      <c r="I7" s="513"/>
      <c r="J7" s="513"/>
      <c r="K7" s="513"/>
    </row>
    <row r="8" spans="1:11" s="1" customFormat="1" ht="18" customHeight="1">
      <c r="A8" s="4"/>
      <c r="H8" s="513" t="s">
        <v>273</v>
      </c>
      <c r="I8" s="513"/>
      <c r="J8" s="513"/>
      <c r="K8" s="513"/>
    </row>
    <row r="9" spans="1:11" s="1" customFormat="1" ht="42" customHeight="1">
      <c r="A9" s="4"/>
      <c r="H9" s="2"/>
      <c r="K9" s="46"/>
    </row>
    <row r="10" spans="1:11" ht="24" customHeight="1">
      <c r="A10" s="515" t="s">
        <v>258</v>
      </c>
      <c r="B10" s="515"/>
      <c r="C10" s="515"/>
      <c r="D10" s="515"/>
      <c r="E10" s="515"/>
      <c r="F10" s="515"/>
      <c r="G10" s="515"/>
      <c r="H10" s="515"/>
      <c r="I10" s="515"/>
      <c r="J10" s="515"/>
      <c r="K10" s="515"/>
    </row>
    <row r="11" spans="1:11" ht="24" customHeight="1">
      <c r="A11" s="516"/>
      <c r="B11" s="516"/>
      <c r="C11" s="516"/>
      <c r="D11" s="516"/>
      <c r="E11" s="516"/>
      <c r="F11" s="516"/>
      <c r="G11" s="516"/>
      <c r="H11" s="516"/>
      <c r="I11" s="516"/>
      <c r="J11" s="516"/>
      <c r="K11" s="51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7" t="s">
        <v>84</v>
      </c>
      <c r="B14" s="568"/>
      <c r="C14" s="569"/>
      <c r="D14" s="585">
        <f>'1-1'!D14:F14</f>
        <v>1190000</v>
      </c>
      <c r="E14" s="586"/>
      <c r="F14" s="587"/>
      <c r="G14" s="588"/>
      <c r="H14" s="589"/>
      <c r="I14" s="589"/>
      <c r="J14" s="589"/>
      <c r="K14" s="97">
        <f>'1-1'!K14</f>
        <v>0</v>
      </c>
    </row>
    <row r="15" spans="1:11" ht="39" customHeight="1" thickBot="1">
      <c r="A15" s="19"/>
      <c r="B15" s="18" t="s">
        <v>8</v>
      </c>
      <c r="C15" s="17" t="s">
        <v>9</v>
      </c>
      <c r="D15" s="16" t="s">
        <v>124</v>
      </c>
      <c r="E15" s="16" t="s">
        <v>123</v>
      </c>
      <c r="F15" s="17" t="s">
        <v>10</v>
      </c>
      <c r="G15" s="17" t="s">
        <v>11</v>
      </c>
      <c r="H15" s="448" t="s">
        <v>248</v>
      </c>
      <c r="I15" s="16" t="s">
        <v>12</v>
      </c>
      <c r="J15" s="447" t="s">
        <v>252</v>
      </c>
      <c r="K15" s="23" t="s">
        <v>15</v>
      </c>
    </row>
    <row r="16" spans="1:11" ht="39" customHeight="1" thickTop="1">
      <c r="A16" s="30" t="s">
        <v>105</v>
      </c>
      <c r="B16" s="224">
        <f>'随時②-1'!B20</f>
        <v>179000</v>
      </c>
      <c r="C16" s="225">
        <f>'随時②-1'!C20</f>
        <v>90000</v>
      </c>
      <c r="D16" s="225">
        <f>'随時②-1'!D20</f>
        <v>75714</v>
      </c>
      <c r="E16" s="225">
        <f>'随時②-1'!E20</f>
        <v>0</v>
      </c>
      <c r="F16" s="225">
        <f>'随時②-1'!F20</f>
        <v>23972</v>
      </c>
      <c r="G16" s="225">
        <f>'随時②-1'!G20</f>
        <v>0</v>
      </c>
      <c r="H16" s="225">
        <f>'随時②-1'!H20</f>
        <v>0</v>
      </c>
      <c r="I16" s="225">
        <f>'随時②-1'!I20</f>
        <v>150000</v>
      </c>
      <c r="J16" s="226">
        <f>'随時②-1'!J20</f>
        <v>61430</v>
      </c>
      <c r="K16" s="433">
        <f aca="true" t="shared" si="0" ref="K16:K26">SUM(B16:J16)</f>
        <v>580116</v>
      </c>
    </row>
    <row r="17" spans="1:11" ht="39" customHeight="1">
      <c r="A17" s="30" t="s">
        <v>178</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3">
        <f t="shared" si="0"/>
        <v>11000</v>
      </c>
    </row>
    <row r="18" spans="1:11" ht="39" customHeight="1" thickBot="1">
      <c r="A18" s="30" t="s">
        <v>106</v>
      </c>
      <c r="B18" s="224">
        <f>B16-B17</f>
        <v>179000</v>
      </c>
      <c r="C18" s="225">
        <f>C16-C17</f>
        <v>90000</v>
      </c>
      <c r="D18" s="225">
        <f aca="true" t="shared" si="1" ref="D18:J18">D16-D17</f>
        <v>75714</v>
      </c>
      <c r="E18" s="225">
        <f t="shared" si="1"/>
        <v>0</v>
      </c>
      <c r="F18" s="225">
        <f t="shared" si="1"/>
        <v>23972</v>
      </c>
      <c r="G18" s="225">
        <f t="shared" si="1"/>
        <v>0</v>
      </c>
      <c r="H18" s="225">
        <f t="shared" si="1"/>
        <v>0</v>
      </c>
      <c r="I18" s="225">
        <f t="shared" si="1"/>
        <v>150000</v>
      </c>
      <c r="J18" s="225">
        <f t="shared" si="1"/>
        <v>50430</v>
      </c>
      <c r="K18" s="433">
        <f t="shared" si="0"/>
        <v>569116</v>
      </c>
    </row>
    <row r="19" spans="1:11" ht="39" customHeight="1" thickBot="1">
      <c r="A19" s="32" t="s">
        <v>173</v>
      </c>
      <c r="B19" s="441">
        <f>'2-2'!K142</f>
        <v>177000</v>
      </c>
      <c r="C19" s="442">
        <f>'2-2'!K143</f>
        <v>86140</v>
      </c>
      <c r="D19" s="442">
        <f>'2-2'!K144</f>
        <v>51722</v>
      </c>
      <c r="E19" s="442">
        <f>'2-2'!K145</f>
        <v>0</v>
      </c>
      <c r="F19" s="442">
        <f>'2-2'!K146</f>
        <v>20846</v>
      </c>
      <c r="G19" s="442">
        <f>'2-2'!K147</f>
        <v>0</v>
      </c>
      <c r="H19" s="442">
        <f>'2-2'!K148</f>
        <v>0</v>
      </c>
      <c r="I19" s="442">
        <f>'2-2'!K149</f>
        <v>140292</v>
      </c>
      <c r="J19" s="446">
        <f>'2-2'!K150</f>
        <v>61430</v>
      </c>
      <c r="K19" s="443">
        <f t="shared" si="0"/>
        <v>537430</v>
      </c>
    </row>
    <row r="20" spans="1:11" ht="39" customHeight="1">
      <c r="A20" s="40" t="s">
        <v>179</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200</v>
      </c>
      <c r="B21" s="434">
        <f>B19-B20</f>
        <v>177000</v>
      </c>
      <c r="C21" s="322">
        <f>C19-C20</f>
        <v>86140</v>
      </c>
      <c r="D21" s="322">
        <f aca="true" t="shared" si="2" ref="D21:J21">D19-D20</f>
        <v>51722</v>
      </c>
      <c r="E21" s="322">
        <f t="shared" si="2"/>
        <v>0</v>
      </c>
      <c r="F21" s="322">
        <f t="shared" si="2"/>
        <v>20846</v>
      </c>
      <c r="G21" s="322">
        <f t="shared" si="2"/>
        <v>0</v>
      </c>
      <c r="H21" s="322">
        <f t="shared" si="2"/>
        <v>0</v>
      </c>
      <c r="I21" s="322">
        <f t="shared" si="2"/>
        <v>140292</v>
      </c>
      <c r="J21" s="322">
        <f t="shared" si="2"/>
        <v>50430</v>
      </c>
      <c r="K21" s="436">
        <f t="shared" si="0"/>
        <v>526430</v>
      </c>
    </row>
    <row r="22" spans="1:11" ht="39" customHeight="1" thickBot="1">
      <c r="A22" s="32" t="s">
        <v>117</v>
      </c>
      <c r="B22" s="441">
        <f>B18-B21</f>
        <v>2000</v>
      </c>
      <c r="C22" s="441">
        <f aca="true" t="shared" si="3" ref="C22:J22">C18-C21</f>
        <v>3860</v>
      </c>
      <c r="D22" s="441">
        <f t="shared" si="3"/>
        <v>23992</v>
      </c>
      <c r="E22" s="441">
        <f t="shared" si="3"/>
        <v>0</v>
      </c>
      <c r="F22" s="441">
        <f t="shared" si="3"/>
        <v>3126</v>
      </c>
      <c r="G22" s="441">
        <f t="shared" si="3"/>
        <v>0</v>
      </c>
      <c r="H22" s="441">
        <f t="shared" si="3"/>
        <v>0</v>
      </c>
      <c r="I22" s="441">
        <f t="shared" si="3"/>
        <v>9708</v>
      </c>
      <c r="J22" s="441">
        <f t="shared" si="3"/>
        <v>0</v>
      </c>
      <c r="K22" s="443">
        <f t="shared" si="0"/>
        <v>42686</v>
      </c>
    </row>
    <row r="23" spans="1:11" ht="39" customHeight="1">
      <c r="A23" s="30" t="s">
        <v>166</v>
      </c>
      <c r="B23" s="225">
        <f>'2-4'!G107</f>
        <v>382000</v>
      </c>
      <c r="C23" s="225">
        <f>'2-4'!G108</f>
        <v>0</v>
      </c>
      <c r="D23" s="225">
        <f>'2-4'!G109</f>
        <v>127400</v>
      </c>
      <c r="E23" s="225">
        <f>'2-4'!G110</f>
        <v>0</v>
      </c>
      <c r="F23" s="225">
        <f>'2-4'!G111</f>
        <v>76800</v>
      </c>
      <c r="G23" s="225">
        <f>'2-4'!G112</f>
        <v>0</v>
      </c>
      <c r="H23" s="225">
        <f>'2-4'!G113</f>
        <v>0</v>
      </c>
      <c r="I23" s="225">
        <f>'2-4'!G114</f>
        <v>0</v>
      </c>
      <c r="J23" s="225">
        <f>'2-4'!G115</f>
        <v>40000</v>
      </c>
      <c r="K23" s="433">
        <f t="shared" si="0"/>
        <v>626200</v>
      </c>
    </row>
    <row r="24" spans="1:11" ht="39" customHeight="1">
      <c r="A24" s="21" t="s">
        <v>194</v>
      </c>
      <c r="B24" s="225">
        <f>'2-4'!H107</f>
        <v>0</v>
      </c>
      <c r="C24" s="225">
        <f>'2-4'!H108</f>
        <v>0</v>
      </c>
      <c r="D24" s="225">
        <f>'2-4'!H109</f>
        <v>0</v>
      </c>
      <c r="E24" s="225">
        <f>'2-4'!H110</f>
        <v>0</v>
      </c>
      <c r="F24" s="225">
        <f>'2-4'!H111</f>
        <v>0</v>
      </c>
      <c r="G24" s="225">
        <f>'2-4'!H112</f>
        <v>0</v>
      </c>
      <c r="H24" s="225">
        <f>'2-4'!H113</f>
        <v>0</v>
      </c>
      <c r="I24" s="225">
        <f>'2-4'!H114</f>
        <v>0</v>
      </c>
      <c r="J24" s="225">
        <f>'2-4'!H115</f>
        <v>0</v>
      </c>
      <c r="K24" s="436">
        <f t="shared" si="0"/>
        <v>0</v>
      </c>
    </row>
    <row r="25" spans="1:11" ht="39" customHeight="1">
      <c r="A25" s="21" t="s">
        <v>120</v>
      </c>
      <c r="B25" s="434">
        <f>B23-B24-B22</f>
        <v>380000</v>
      </c>
      <c r="C25" s="434">
        <f aca="true" t="shared" si="4" ref="C25:J25">C23-C24-C22</f>
        <v>-3860</v>
      </c>
      <c r="D25" s="434">
        <f t="shared" si="4"/>
        <v>103408</v>
      </c>
      <c r="E25" s="434">
        <f t="shared" si="4"/>
        <v>0</v>
      </c>
      <c r="F25" s="434">
        <f t="shared" si="4"/>
        <v>73674</v>
      </c>
      <c r="G25" s="434">
        <f t="shared" si="4"/>
        <v>0</v>
      </c>
      <c r="H25" s="434">
        <f t="shared" si="4"/>
        <v>0</v>
      </c>
      <c r="I25" s="434">
        <f t="shared" si="4"/>
        <v>-9708</v>
      </c>
      <c r="J25" s="434">
        <f t="shared" si="4"/>
        <v>40000</v>
      </c>
      <c r="K25" s="436">
        <f t="shared" si="0"/>
        <v>583514</v>
      </c>
    </row>
    <row r="26" spans="1:11" ht="39" customHeight="1" thickBot="1">
      <c r="A26" s="22" t="s">
        <v>118</v>
      </c>
      <c r="B26" s="220">
        <f>B19+B23</f>
        <v>559000</v>
      </c>
      <c r="C26" s="220">
        <f aca="true" t="shared" si="5" ref="C26:J26">C19+C23</f>
        <v>86140</v>
      </c>
      <c r="D26" s="220">
        <f t="shared" si="5"/>
        <v>179122</v>
      </c>
      <c r="E26" s="220">
        <f t="shared" si="5"/>
        <v>0</v>
      </c>
      <c r="F26" s="220">
        <f t="shared" si="5"/>
        <v>97646</v>
      </c>
      <c r="G26" s="220">
        <f t="shared" si="5"/>
        <v>0</v>
      </c>
      <c r="H26" s="220">
        <f t="shared" si="5"/>
        <v>0</v>
      </c>
      <c r="I26" s="220">
        <f t="shared" si="5"/>
        <v>140292</v>
      </c>
      <c r="J26" s="220">
        <f t="shared" si="5"/>
        <v>101430</v>
      </c>
      <c r="K26" s="223">
        <f t="shared" si="0"/>
        <v>1163630</v>
      </c>
    </row>
    <row r="27" spans="1:11" ht="39" customHeight="1" thickBot="1">
      <c r="A27" s="32" t="s">
        <v>104</v>
      </c>
      <c r="B27" s="565" t="s">
        <v>348</v>
      </c>
      <c r="C27" s="565"/>
      <c r="D27" s="565"/>
      <c r="E27" s="565"/>
      <c r="F27" s="565"/>
      <c r="G27" s="565"/>
      <c r="H27" s="565"/>
      <c r="I27" s="565"/>
      <c r="J27" s="565"/>
      <c r="K27" s="566"/>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J4" activePane="bottomRight" state="frozen"/>
      <selection pane="topLeft" activeCell="E23" sqref="E23"/>
      <selection pane="topRight" activeCell="E23" sqref="E23"/>
      <selection pane="bottomLeft" activeCell="E23" sqref="E23"/>
      <selection pane="bottomRight" activeCell="L4" sqref="L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597" t="s">
        <v>142</v>
      </c>
      <c r="G2" s="598"/>
      <c r="H2" s="598"/>
      <c r="I2" s="598"/>
      <c r="J2" s="598"/>
      <c r="K2" s="534" t="s">
        <v>115</v>
      </c>
      <c r="L2" s="532"/>
      <c r="M2" s="532"/>
      <c r="N2" s="532"/>
      <c r="O2" s="533"/>
      <c r="P2" s="13"/>
    </row>
    <row r="3" spans="1:21" ht="24" customHeight="1">
      <c r="A3" s="422" t="s">
        <v>140</v>
      </c>
      <c r="B3" s="300" t="s">
        <v>141</v>
      </c>
      <c r="C3" s="59" t="s">
        <v>143</v>
      </c>
      <c r="D3" s="96" t="s">
        <v>145</v>
      </c>
      <c r="E3" s="96" t="s">
        <v>0</v>
      </c>
      <c r="F3" s="96" t="s">
        <v>196</v>
      </c>
      <c r="G3" s="96" t="s">
        <v>91</v>
      </c>
      <c r="H3" s="474" t="s">
        <v>245</v>
      </c>
      <c r="I3" s="96" t="s">
        <v>92</v>
      </c>
      <c r="J3" s="96" t="s">
        <v>93</v>
      </c>
      <c r="K3" s="386" t="s">
        <v>198</v>
      </c>
      <c r="L3" s="387" t="s">
        <v>91</v>
      </c>
      <c r="M3" s="475" t="s">
        <v>245</v>
      </c>
      <c r="N3" s="387" t="s">
        <v>92</v>
      </c>
      <c r="O3" s="388" t="s">
        <v>93</v>
      </c>
      <c r="P3" s="228" t="s">
        <v>111</v>
      </c>
      <c r="Q3" s="296" t="s">
        <v>107</v>
      </c>
      <c r="R3" s="62" t="s">
        <v>147</v>
      </c>
      <c r="S3" s="61" t="s">
        <v>148</v>
      </c>
      <c r="T3" s="61" t="s">
        <v>149</v>
      </c>
      <c r="U3" s="61" t="s">
        <v>150</v>
      </c>
    </row>
    <row r="4" spans="1:21" ht="13.5" customHeight="1">
      <c r="A4" s="301">
        <f>'1-2'!A4</f>
        <v>0</v>
      </c>
      <c r="B4" s="302">
        <f>'1-2'!B4</f>
        <v>0</v>
      </c>
      <c r="C4" s="478">
        <f>'1-2'!C4</f>
        <v>0</v>
      </c>
      <c r="D4" s="244">
        <v>1</v>
      </c>
      <c r="E4" s="303" t="str">
        <f>IF($R4=1,"",VLOOKUP($D4,'1-2'!$D$4:$L$103,2))</f>
        <v>負担金、補助及び交付金</v>
      </c>
      <c r="F4" s="303" t="str">
        <f>IF($R4=1,"取消し",VLOOKUP($D4,'1-2'!$D$4:$L$103,3))</f>
        <v>各種団体負担金（会費）</v>
      </c>
      <c r="G4" s="304">
        <f>IF($R4=1,,VLOOKUP($D4,'1-2'!$D$4:$L$103,4))</f>
        <v>57430</v>
      </c>
      <c r="H4" s="305">
        <f>IF($R4=1,,VLOOKUP($D4,'1-2'!$D$4:$L$103,5))</f>
        <v>1</v>
      </c>
      <c r="I4" s="305">
        <f>IF($R4=1,,VLOOKUP($D4,'1-2'!$D$4:$L$103,6))</f>
        <v>1</v>
      </c>
      <c r="J4" s="306">
        <f>IF($R4=1,,VLOOKUP($D4,'1-2'!$D$4:$L$103,7))</f>
        <v>57430</v>
      </c>
      <c r="K4" s="307" t="str">
        <f aca="true" t="shared" si="0" ref="K4:N5">F4</f>
        <v>各種団体負担金（会費）</v>
      </c>
      <c r="L4" s="308">
        <f t="shared" si="0"/>
        <v>57430</v>
      </c>
      <c r="M4" s="309">
        <f t="shared" si="0"/>
        <v>1</v>
      </c>
      <c r="N4" s="309">
        <f t="shared" si="0"/>
        <v>1</v>
      </c>
      <c r="O4" s="310">
        <f>L4*M4*N4</f>
        <v>57430</v>
      </c>
      <c r="P4" s="311">
        <f>IF($R4=1,"",VLOOKUP($D4,'1-2'!$D$4:$L$103,8))</f>
        <v>0</v>
      </c>
      <c r="Q4" s="312" t="s">
        <v>226</v>
      </c>
      <c r="R4" s="25">
        <f>IF(ISNA(MATCH($D4,'随時②-2'!$D$4:$D$18,0)),0,1)</f>
        <v>0</v>
      </c>
      <c r="S4" s="63">
        <f aca="true" t="shared" si="1" ref="S4:S67">IF(P4="◎",J4,"")</f>
      </c>
      <c r="T4" s="63">
        <f>IF(P4="◎",O4,"")</f>
      </c>
      <c r="U4" s="5">
        <f>IF($E4=0,"",VLOOKUP($E4,$V$5:$X$13,2))</f>
        <v>9</v>
      </c>
    </row>
    <row r="5" spans="1:23" ht="13.5" customHeight="1">
      <c r="A5" s="313">
        <f>'1-2'!A5</f>
        <v>2</v>
      </c>
      <c r="B5" s="314" t="str">
        <f>'1-2'!B5</f>
        <v>1-(3)-ウ</v>
      </c>
      <c r="C5" s="479" t="str">
        <f>'1-2'!C5</f>
        <v>進路実現</v>
      </c>
      <c r="D5" s="255">
        <v>2</v>
      </c>
      <c r="E5" s="315" t="str">
        <f>IF($R5=1,"",VLOOKUP($D5,'1-2'!$D$4:$L$103,2))</f>
        <v>報償費</v>
      </c>
      <c r="F5" s="316" t="str">
        <f>IF($R5=1,"取消し",VLOOKUP($D5,'1-2'!$D$4:$L$103,3))</f>
        <v>3年進路講演会講師謝礼</v>
      </c>
      <c r="G5" s="225">
        <f>IF($R5=1,,VLOOKUP($D5,'1-2'!$D$4:$L$103,4))</f>
        <v>1000</v>
      </c>
      <c r="H5" s="317">
        <f>IF($R5=1,,VLOOKUP($D5,'1-2'!$D$4:$L$103,5))</f>
        <v>5</v>
      </c>
      <c r="I5" s="317">
        <f>IF($R5=1,,VLOOKUP($D5,'1-2'!$D$4:$L$103,6))</f>
        <v>1</v>
      </c>
      <c r="J5" s="318">
        <f>IF($R5=1,,VLOOKUP($D5,'1-2'!$D$4:$L$103,7))</f>
        <v>5000</v>
      </c>
      <c r="K5" s="319" t="str">
        <f>F5</f>
        <v>3年進路講演会講師謝礼</v>
      </c>
      <c r="L5" s="320">
        <f t="shared" si="0"/>
        <v>1000</v>
      </c>
      <c r="M5" s="321">
        <v>3</v>
      </c>
      <c r="N5" s="321">
        <f t="shared" si="0"/>
        <v>1</v>
      </c>
      <c r="O5" s="310">
        <f aca="true" t="shared" si="2" ref="O5:O68">L5*M5*N5</f>
        <v>3000</v>
      </c>
      <c r="P5" s="311">
        <f>IF($R5=1,"",VLOOKUP($D5,'1-2'!$D$4:$L$103,8))</f>
        <v>0</v>
      </c>
      <c r="Q5" s="312">
        <f>IF($R5=1,"",VLOOKUP($D5,'1-2'!$D$4:$L$103,9))</f>
        <v>0</v>
      </c>
      <c r="R5" s="25">
        <f>IF(ISNA(MATCH($D5,'随時②-2'!$D$4:$D$18,0)),0,1)</f>
        <v>0</v>
      </c>
      <c r="S5" s="63">
        <f t="shared" si="1"/>
      </c>
      <c r="T5" s="63">
        <f aca="true" t="shared" si="3" ref="T5:T68">IF(P5="◎",O5,"")</f>
      </c>
      <c r="U5" s="5">
        <f aca="true" t="shared" si="4" ref="U5:U68">IF($E5=0,"",VLOOKUP($E5,$V$5:$X$13,2))</f>
        <v>1</v>
      </c>
      <c r="V5" s="5" t="s">
        <v>151</v>
      </c>
      <c r="W5" s="5">
        <v>6</v>
      </c>
    </row>
    <row r="6" spans="1:23" ht="13.5" customHeight="1">
      <c r="A6" s="313">
        <f>'1-2'!A6</f>
        <v>2</v>
      </c>
      <c r="B6" s="314" t="str">
        <f>'1-2'!B6</f>
        <v>1-(3)-ウ</v>
      </c>
      <c r="C6" s="479" t="str">
        <f>'1-2'!C6</f>
        <v>進路実現</v>
      </c>
      <c r="D6" s="255">
        <v>3</v>
      </c>
      <c r="E6" s="315" t="str">
        <f>IF($R6=1,"",VLOOKUP($D6,'1-2'!$D$4:$L$103,2))</f>
        <v>役務費</v>
      </c>
      <c r="F6" s="316" t="str">
        <f>IF($R6=1,"取消し",VLOOKUP($D6,'1-2'!$D$4:$L$103,3))</f>
        <v>手話通訳謝礼</v>
      </c>
      <c r="G6" s="225">
        <f>IF($R6=1,,VLOOKUP($D6,'1-2'!$D$4:$L$103,4))</f>
        <v>7000</v>
      </c>
      <c r="H6" s="317">
        <f>IF($R6=1,,VLOOKUP($D6,'1-2'!$D$4:$L$103,5))</f>
        <v>1</v>
      </c>
      <c r="I6" s="317">
        <f>IF($R6=1,,VLOOKUP($D6,'1-2'!$D$4:$L$103,6))</f>
        <v>1</v>
      </c>
      <c r="J6" s="318">
        <f>IF($R6=1,,VLOOKUP($D6,'1-2'!$D$4:$L$103,7))</f>
        <v>7000</v>
      </c>
      <c r="K6" s="319" t="str">
        <f aca="true" t="shared" si="5" ref="K6:K69">F6</f>
        <v>手話通訳謝礼</v>
      </c>
      <c r="L6" s="320">
        <f aca="true" t="shared" si="6" ref="L6:N10">G6</f>
        <v>7000</v>
      </c>
      <c r="M6" s="321">
        <f t="shared" si="6"/>
        <v>1</v>
      </c>
      <c r="N6" s="321">
        <f t="shared" si="6"/>
        <v>1</v>
      </c>
      <c r="O6" s="310">
        <f t="shared" si="2"/>
        <v>7000</v>
      </c>
      <c r="P6" s="311">
        <f>IF($R6=1,"",VLOOKUP($D6,'1-2'!$D$4:$L$103,8))</f>
        <v>0</v>
      </c>
      <c r="Q6" s="312">
        <f>IF($R6=1,"",VLOOKUP($D6,'1-2'!$D$4:$L$103,9))</f>
        <v>0</v>
      </c>
      <c r="R6" s="25">
        <f>IF(ISNA(MATCH($D6,'随時②-2'!$D$4:$D$18,0)),0,1)</f>
        <v>0</v>
      </c>
      <c r="S6" s="63">
        <f t="shared" si="1"/>
      </c>
      <c r="T6" s="63">
        <f t="shared" si="3"/>
      </c>
      <c r="U6" s="5">
        <f t="shared" si="4"/>
        <v>5</v>
      </c>
      <c r="V6" s="5" t="s">
        <v>152</v>
      </c>
      <c r="W6" s="5">
        <v>4</v>
      </c>
    </row>
    <row r="7" spans="1:23" ht="13.5" customHeight="1">
      <c r="A7" s="313">
        <f>'1-2'!A7</f>
        <v>3</v>
      </c>
      <c r="B7" s="314" t="str">
        <f>'1-2'!B7</f>
        <v>2-(1)-ア</v>
      </c>
      <c r="C7" s="479" t="str">
        <f>'1-2'!C7</f>
        <v>教員のコミュニケーション能力向上</v>
      </c>
      <c r="D7" s="255">
        <v>4</v>
      </c>
      <c r="E7" s="315" t="str">
        <f>IF($R7=1,"",VLOOKUP($D7,'1-2'!$D$4:$L$103,2))</f>
        <v>報償費</v>
      </c>
      <c r="F7" s="316" t="str">
        <f>IF($R7=1,"取消し",VLOOKUP($D7,'1-2'!$D$4:$L$103,3))</f>
        <v>教職員人権・教育相談研修講師謝礼</v>
      </c>
      <c r="G7" s="225">
        <f>IF($R7=1,,VLOOKUP($D7,'1-2'!$D$4:$L$103,4))</f>
        <v>20000</v>
      </c>
      <c r="H7" s="317">
        <f>IF($R7=1,,VLOOKUP($D7,'1-2'!$D$4:$L$103,5))</f>
        <v>1</v>
      </c>
      <c r="I7" s="317">
        <f>IF($R7=1,,VLOOKUP($D7,'1-2'!$D$4:$L$103,6))</f>
        <v>1</v>
      </c>
      <c r="J7" s="318">
        <f>IF($R7=1,,VLOOKUP($D7,'1-2'!$D$4:$L$103,7))</f>
        <v>20000</v>
      </c>
      <c r="K7" s="319" t="str">
        <f t="shared" si="5"/>
        <v>教職員人権・教育相談研修講師謝礼</v>
      </c>
      <c r="L7" s="320">
        <f t="shared" si="6"/>
        <v>20000</v>
      </c>
      <c r="M7" s="321">
        <f t="shared" si="6"/>
        <v>1</v>
      </c>
      <c r="N7" s="321">
        <f t="shared" si="6"/>
        <v>1</v>
      </c>
      <c r="O7" s="310">
        <f t="shared" si="2"/>
        <v>20000</v>
      </c>
      <c r="P7" s="311">
        <f>IF($R7=1,"",VLOOKUP($D7,'1-2'!$D$4:$L$103,8))</f>
        <v>0</v>
      </c>
      <c r="Q7" s="312">
        <f>IF($R7=1,"",VLOOKUP($D7,'1-2'!$D$4:$L$103,9))</f>
        <v>0</v>
      </c>
      <c r="R7" s="25">
        <f>IF(ISNA(MATCH($D7,'随時②-2'!$D$4:$D$18,0)),0,1)</f>
        <v>0</v>
      </c>
      <c r="S7" s="63">
        <f t="shared" si="1"/>
      </c>
      <c r="T7" s="63">
        <f t="shared" si="3"/>
      </c>
      <c r="U7" s="5">
        <f t="shared" si="4"/>
        <v>1</v>
      </c>
      <c r="V7" s="5" t="s">
        <v>153</v>
      </c>
      <c r="W7" s="5">
        <v>7</v>
      </c>
    </row>
    <row r="8" spans="1:23" ht="13.5" customHeight="1">
      <c r="A8" s="313">
        <f>'1-2'!A8</f>
        <v>3</v>
      </c>
      <c r="B8" s="314" t="str">
        <f>'1-2'!B8</f>
        <v>2-(1)-ア</v>
      </c>
      <c r="C8" s="479" t="str">
        <f>'1-2'!C8</f>
        <v>教員のコミュニケーション能力向上</v>
      </c>
      <c r="D8" s="264">
        <v>5</v>
      </c>
      <c r="E8" s="315" t="str">
        <f>IF($R8=1,"",VLOOKUP($D8,'1-2'!$D$4:$L$103,2))</f>
        <v>消耗需用費</v>
      </c>
      <c r="F8" s="316" t="str">
        <f>IF($R8=1,"取消し",VLOOKUP($D8,'1-2'!$D$4:$L$103,3))</f>
        <v>府立人権夏季セミナー資料代</v>
      </c>
      <c r="G8" s="225">
        <f>IF($R8=1,,VLOOKUP($D8,'1-2'!$D$4:$L$103,4))</f>
        <v>2000</v>
      </c>
      <c r="H8" s="317">
        <f>IF($R8=1,,VLOOKUP($D8,'1-2'!$D$4:$L$103,5))</f>
        <v>4</v>
      </c>
      <c r="I8" s="317">
        <f>IF($R8=1,,VLOOKUP($D8,'1-2'!$D$4:$L$103,6))</f>
        <v>1</v>
      </c>
      <c r="J8" s="318">
        <f>IF($R8=1,,VLOOKUP($D8,'1-2'!$D$4:$L$103,7))</f>
        <v>8000</v>
      </c>
      <c r="K8" s="319" t="str">
        <f t="shared" si="5"/>
        <v>府立人権夏季セミナー資料代</v>
      </c>
      <c r="L8" s="320">
        <f t="shared" si="6"/>
        <v>2000</v>
      </c>
      <c r="M8" s="321">
        <f t="shared" si="6"/>
        <v>4</v>
      </c>
      <c r="N8" s="321">
        <f t="shared" si="6"/>
        <v>1</v>
      </c>
      <c r="O8" s="310">
        <f t="shared" si="2"/>
        <v>8000</v>
      </c>
      <c r="P8" s="311">
        <f>IF($R8=1,"",VLOOKUP($D8,'1-2'!$D$4:$L$103,8))</f>
        <v>0</v>
      </c>
      <c r="Q8" s="312" t="b">
        <f>K5=IF($R8=1,"",VLOOKUP($D8,'1-2'!$D$4:$L$103,9))</f>
        <v>0</v>
      </c>
      <c r="R8" s="25">
        <f>IF(ISNA(MATCH($D8,'随時②-2'!$D$4:$D$18,0)),0,1)</f>
        <v>0</v>
      </c>
      <c r="S8" s="63">
        <f t="shared" si="1"/>
      </c>
      <c r="T8" s="63">
        <f t="shared" si="3"/>
      </c>
      <c r="U8" s="5">
        <f t="shared" si="4"/>
        <v>7</v>
      </c>
      <c r="V8" s="5" t="s">
        <v>154</v>
      </c>
      <c r="W8" s="5">
        <v>3</v>
      </c>
    </row>
    <row r="9" spans="1:23" ht="13.5" customHeight="1">
      <c r="A9" s="313">
        <f>'1-2'!A9</f>
        <v>4</v>
      </c>
      <c r="B9" s="314" t="str">
        <f>'1-2'!B9</f>
        <v>2-(1)-イ</v>
      </c>
      <c r="C9" s="479" t="str">
        <f>'1-2'!C9</f>
        <v>生徒のコミュニケーション能力向上</v>
      </c>
      <c r="D9" s="255">
        <v>6</v>
      </c>
      <c r="E9" s="315" t="str">
        <f>IF($R9=1,"",VLOOKUP($D9,'1-2'!$D$4:$L$103,2))</f>
        <v>報償費</v>
      </c>
      <c r="F9" s="316" t="str">
        <f>IF($R9=1,"取消し",VLOOKUP($D9,'1-2'!$D$4:$L$103,3))</f>
        <v>1年思春期講座講師謝礼</v>
      </c>
      <c r="G9" s="225">
        <f>IF($R9=1,,VLOOKUP($D9,'1-2'!$D$4:$L$103,4))</f>
        <v>20000</v>
      </c>
      <c r="H9" s="317">
        <f>IF($R9=1,,VLOOKUP($D9,'1-2'!$D$4:$L$103,5))</f>
        <v>1</v>
      </c>
      <c r="I9" s="317">
        <f>IF($R9=1,,VLOOKUP($D9,'1-2'!$D$4:$L$103,6))</f>
        <v>1</v>
      </c>
      <c r="J9" s="318">
        <f>IF($R9=1,,VLOOKUP($D9,'1-2'!$D$4:$L$103,7))</f>
        <v>20000</v>
      </c>
      <c r="K9" s="319" t="str">
        <f t="shared" si="5"/>
        <v>1年思春期講座講師謝礼</v>
      </c>
      <c r="L9" s="320">
        <f t="shared" si="6"/>
        <v>20000</v>
      </c>
      <c r="M9" s="321">
        <f t="shared" si="6"/>
        <v>1</v>
      </c>
      <c r="N9" s="321">
        <f t="shared" si="6"/>
        <v>1</v>
      </c>
      <c r="O9" s="310">
        <f t="shared" si="2"/>
        <v>20000</v>
      </c>
      <c r="P9" s="311">
        <f>IF($R9=1,"",VLOOKUP($D9,'1-2'!$D$4:$L$103,8))</f>
        <v>0</v>
      </c>
      <c r="Q9" s="312">
        <f>IF($R9=1,"",VLOOKUP($D9,'1-2'!$D$4:$L$103,9))</f>
        <v>0</v>
      </c>
      <c r="R9" s="25">
        <f>IF(ISNA(MATCH($D9,'随時②-2'!$D$4:$D$18,0)),0,1)</f>
        <v>0</v>
      </c>
      <c r="S9" s="63">
        <f t="shared" si="1"/>
      </c>
      <c r="T9" s="63">
        <f t="shared" si="3"/>
      </c>
      <c r="U9" s="5">
        <f t="shared" si="4"/>
        <v>1</v>
      </c>
      <c r="V9" s="5" t="s">
        <v>155</v>
      </c>
      <c r="W9" s="5">
        <v>8</v>
      </c>
    </row>
    <row r="10" spans="1:23" ht="13.5" customHeight="1">
      <c r="A10" s="313">
        <f>'1-2'!A10</f>
        <v>5</v>
      </c>
      <c r="B10" s="314" t="str">
        <f>'1-2'!B10</f>
        <v>2-(1)-エ</v>
      </c>
      <c r="C10" s="479" t="str">
        <f>'1-2'!C10</f>
        <v>コミュニケーションコース授業の充実</v>
      </c>
      <c r="D10" s="255">
        <v>7</v>
      </c>
      <c r="E10" s="315" t="str">
        <f>IF($R10=1,"",VLOOKUP($D10,'1-2'!$D$4:$L$103,2))</f>
        <v>報償費</v>
      </c>
      <c r="F10" s="316" t="str">
        <f>IF($R10=1,"取消し",VLOOKUP($D10,'1-2'!$D$4:$L$103,3))</f>
        <v>「コミュニケーション総合」講師謝礼</v>
      </c>
      <c r="G10" s="225">
        <f>IF($R10=1,,VLOOKUP($D10,'1-2'!$D$4:$L$103,4))</f>
        <v>50000</v>
      </c>
      <c r="H10" s="317">
        <f>IF($R10=1,,VLOOKUP($D10,'1-2'!$D$4:$L$103,5))</f>
        <v>1</v>
      </c>
      <c r="I10" s="317">
        <f>IF($R10=1,,VLOOKUP($D10,'1-2'!$D$4:$L$103,6))</f>
        <v>1</v>
      </c>
      <c r="J10" s="318">
        <f>IF($R10=1,,VLOOKUP($D10,'1-2'!$D$4:$L$103,7))</f>
        <v>50000</v>
      </c>
      <c r="K10" s="319" t="str">
        <f t="shared" si="5"/>
        <v>「コミュニケーション総合」講師謝礼</v>
      </c>
      <c r="L10" s="320">
        <f t="shared" si="6"/>
        <v>50000</v>
      </c>
      <c r="M10" s="321">
        <f t="shared" si="6"/>
        <v>1</v>
      </c>
      <c r="N10" s="321">
        <f t="shared" si="6"/>
        <v>1</v>
      </c>
      <c r="O10" s="310">
        <f t="shared" si="2"/>
        <v>50000</v>
      </c>
      <c r="P10" s="311">
        <f>IF($R10=1,"",VLOOKUP($D10,'1-2'!$D$4:$L$103,8))</f>
        <v>0</v>
      </c>
      <c r="Q10" s="312">
        <f>IF($R10=1,"",VLOOKUP($D10,'1-2'!$D$4:$L$103,9))</f>
        <v>0</v>
      </c>
      <c r="R10" s="25">
        <f>IF(ISNA(MATCH($D10,'随時②-2'!$D$4:$D$18,0)),0,1)</f>
        <v>0</v>
      </c>
      <c r="S10" s="63">
        <f t="shared" si="1"/>
      </c>
      <c r="T10" s="63">
        <f t="shared" si="3"/>
      </c>
      <c r="U10" s="5">
        <f t="shared" si="4"/>
        <v>1</v>
      </c>
      <c r="V10" s="5" t="s">
        <v>159</v>
      </c>
      <c r="W10" s="5">
        <v>9</v>
      </c>
    </row>
    <row r="11" spans="1:23" ht="13.5" customHeight="1">
      <c r="A11" s="313">
        <f>'1-2'!A11</f>
        <v>5</v>
      </c>
      <c r="B11" s="314" t="str">
        <f>'1-2'!B11</f>
        <v>2-(1)-エ</v>
      </c>
      <c r="C11" s="479" t="str">
        <f>'1-2'!C11</f>
        <v>コミュニケーションコース授業の充実</v>
      </c>
      <c r="D11" s="264">
        <v>8</v>
      </c>
      <c r="E11" s="315" t="str">
        <f>IF($R11=1,"",VLOOKUP($D11,'1-2'!$D$4:$L$103,2))</f>
        <v>報償費</v>
      </c>
      <c r="F11" s="316" t="str">
        <f>IF($R11=1,"取消し",VLOOKUP($D11,'1-2'!$D$4:$L$103,3))</f>
        <v>「コミュニケーション総合」講師謝礼</v>
      </c>
      <c r="G11" s="225">
        <f>IF($R11=1,,VLOOKUP($D11,'1-2'!$D$4:$L$103,4))</f>
        <v>20000</v>
      </c>
      <c r="H11" s="317">
        <f>IF($R11=1,,VLOOKUP($D11,'1-2'!$D$4:$L$103,5))</f>
        <v>1</v>
      </c>
      <c r="I11" s="317">
        <f>IF($R11=1,,VLOOKUP($D11,'1-2'!$D$4:$L$103,6))</f>
        <v>1</v>
      </c>
      <c r="J11" s="318">
        <f>IF($R11=1,,VLOOKUP($D11,'1-2'!$D$4:$L$103,7))</f>
        <v>20000</v>
      </c>
      <c r="K11" s="319" t="str">
        <f t="shared" si="5"/>
        <v>「コミュニケーション総合」講師謝礼</v>
      </c>
      <c r="L11" s="320">
        <v>20000</v>
      </c>
      <c r="M11" s="321">
        <f aca="true" t="shared" si="7" ref="M11:M74">H11</f>
        <v>1</v>
      </c>
      <c r="N11" s="321">
        <f aca="true" t="shared" si="8" ref="N11:N74">I11</f>
        <v>1</v>
      </c>
      <c r="O11" s="310">
        <f t="shared" si="2"/>
        <v>20000</v>
      </c>
      <c r="P11" s="311">
        <f>IF($R11=1,"",VLOOKUP($D11,'1-2'!$D$4:$L$103,8))</f>
        <v>0</v>
      </c>
      <c r="Q11" s="312" t="s">
        <v>346</v>
      </c>
      <c r="R11" s="25">
        <f>IF(ISNA(MATCH($D11,'随時②-2'!$D$4:$D$18,0)),0,1)</f>
        <v>0</v>
      </c>
      <c r="S11" s="63">
        <f t="shared" si="1"/>
      </c>
      <c r="T11" s="63">
        <f t="shared" si="3"/>
      </c>
      <c r="U11" s="5">
        <f t="shared" si="4"/>
        <v>1</v>
      </c>
      <c r="V11" s="5" t="s">
        <v>156</v>
      </c>
      <c r="W11" s="5">
        <v>1</v>
      </c>
    </row>
    <row r="12" spans="1:23" ht="13.5" customHeight="1">
      <c r="A12" s="313">
        <f>'1-2'!A12</f>
        <v>5</v>
      </c>
      <c r="B12" s="314" t="str">
        <f>'1-2'!B12</f>
        <v>2-(1)-エ</v>
      </c>
      <c r="C12" s="479" t="str">
        <f>'1-2'!C12</f>
        <v>コミュニケーションコース授業の充実</v>
      </c>
      <c r="D12" s="264">
        <v>9</v>
      </c>
      <c r="E12" s="315" t="str">
        <f>IF($R12=1,"",VLOOKUP($D12,'1-2'!$D$4:$L$103,2))</f>
        <v>報償費</v>
      </c>
      <c r="F12" s="316" t="str">
        <f>IF($R12=1,"取消し",VLOOKUP($D12,'1-2'!$D$4:$L$103,3))</f>
        <v>「コミュニケーション総合」講師謝礼</v>
      </c>
      <c r="G12" s="225">
        <f>IF($R12=1,,VLOOKUP($D12,'1-2'!$D$4:$L$103,4))</f>
        <v>14000</v>
      </c>
      <c r="H12" s="317">
        <f>IF($R12=1,,VLOOKUP($D12,'1-2'!$D$4:$L$103,5))</f>
        <v>1</v>
      </c>
      <c r="I12" s="317">
        <f>IF($R12=1,,VLOOKUP($D12,'1-2'!$D$4:$L$103,6))</f>
        <v>1</v>
      </c>
      <c r="J12" s="318">
        <f>IF($R12=1,,VLOOKUP($D12,'1-2'!$D$4:$L$103,7))</f>
        <v>14000</v>
      </c>
      <c r="K12" s="319" t="str">
        <f t="shared" si="5"/>
        <v>「コミュニケーション総合」講師謝礼</v>
      </c>
      <c r="L12" s="320">
        <v>14000</v>
      </c>
      <c r="M12" s="321">
        <f t="shared" si="7"/>
        <v>1</v>
      </c>
      <c r="N12" s="321">
        <f t="shared" si="8"/>
        <v>1</v>
      </c>
      <c r="O12" s="310">
        <f t="shared" si="2"/>
        <v>14000</v>
      </c>
      <c r="P12" s="311">
        <f>IF($R12=1,"",VLOOKUP($D12,'1-2'!$D$4:$L$103,8))</f>
        <v>0</v>
      </c>
      <c r="Q12" s="312" t="s">
        <v>347</v>
      </c>
      <c r="R12" s="25">
        <f>IF(ISNA(MATCH($D12,'随時②-2'!$D$4:$D$18,0)),0,1)</f>
        <v>0</v>
      </c>
      <c r="S12" s="63">
        <f t="shared" si="1"/>
      </c>
      <c r="T12" s="63">
        <f t="shared" si="3"/>
      </c>
      <c r="U12" s="5">
        <f t="shared" si="4"/>
        <v>1</v>
      </c>
      <c r="V12" s="5" t="s">
        <v>157</v>
      </c>
      <c r="W12" s="5">
        <v>5</v>
      </c>
    </row>
    <row r="13" spans="1:23" ht="13.5" customHeight="1">
      <c r="A13" s="313">
        <f>'1-2'!A13</f>
        <v>6</v>
      </c>
      <c r="B13" s="314" t="str">
        <f>'1-2'!B13</f>
        <v>2-(1)-オ</v>
      </c>
      <c r="C13" s="479" t="str">
        <f>'1-2'!C13</f>
        <v>英語によるコミュニケーションの力向上</v>
      </c>
      <c r="D13" s="274">
        <v>10</v>
      </c>
      <c r="E13" s="315" t="str">
        <f>IF($R13=1,"",VLOOKUP($D13,'1-2'!$D$4:$L$103,2))</f>
        <v>消耗需用費</v>
      </c>
      <c r="F13" s="316" t="str">
        <f>IF($R13=1,"取消し",VLOOKUP($D13,'1-2'!$D$4:$L$103,3))</f>
        <v>International Day 開催経費</v>
      </c>
      <c r="G13" s="225">
        <f>IF($R13=1,,VLOOKUP($D13,'1-2'!$D$4:$L$103,4))</f>
        <v>15000</v>
      </c>
      <c r="H13" s="317">
        <f>IF($R13=1,,VLOOKUP($D13,'1-2'!$D$4:$L$103,5))</f>
        <v>1</v>
      </c>
      <c r="I13" s="317">
        <f>IF($R13=1,,VLOOKUP($D13,'1-2'!$D$4:$L$103,6))</f>
        <v>1</v>
      </c>
      <c r="J13" s="318">
        <f>IF($R13=1,,VLOOKUP($D13,'1-2'!$D$4:$L$103,7))</f>
        <v>15000</v>
      </c>
      <c r="K13" s="319" t="str">
        <f t="shared" si="5"/>
        <v>International Day 開催経費</v>
      </c>
      <c r="L13" s="320">
        <v>0</v>
      </c>
      <c r="M13" s="321">
        <f t="shared" si="7"/>
        <v>1</v>
      </c>
      <c r="N13" s="321">
        <f t="shared" si="8"/>
        <v>1</v>
      </c>
      <c r="O13" s="310">
        <f t="shared" si="2"/>
        <v>0</v>
      </c>
      <c r="P13" s="311">
        <f>IF($R13=1,"",VLOOKUP($D13,'1-2'!$D$4:$L$103,8))</f>
        <v>0</v>
      </c>
      <c r="Q13" s="312">
        <f>IF($R13=1,"",VLOOKUP($D13,'1-2'!$D$4:$L$103,9))</f>
        <v>0</v>
      </c>
      <c r="R13" s="25">
        <f>IF(ISNA(MATCH($D13,'随時②-2'!$D$4:$D$18,0)),0,1)</f>
        <v>0</v>
      </c>
      <c r="S13" s="63">
        <f t="shared" si="1"/>
      </c>
      <c r="T13" s="63">
        <f t="shared" si="3"/>
      </c>
      <c r="U13" s="5">
        <f t="shared" si="4"/>
        <v>7</v>
      </c>
      <c r="V13" s="5" t="s">
        <v>158</v>
      </c>
      <c r="W13" s="5">
        <v>2</v>
      </c>
    </row>
    <row r="14" spans="1:21" ht="13.5" customHeight="1">
      <c r="A14" s="313">
        <f>'1-2'!A14</f>
        <v>0</v>
      </c>
      <c r="B14" s="314">
        <f>'1-2'!B14</f>
        <v>0</v>
      </c>
      <c r="C14" s="479">
        <f>'1-2'!C14</f>
        <v>0</v>
      </c>
      <c r="D14" s="255">
        <v>11</v>
      </c>
      <c r="E14" s="315" t="str">
        <f>IF($R14=1,"",VLOOKUP($D14,'1-2'!$D$4:$L$103,2))</f>
        <v>旅費</v>
      </c>
      <c r="F14" s="316" t="str">
        <f>IF($R14=1,"取消し",VLOOKUP($D14,'1-2'!$D$4:$L$103,3))</f>
        <v>全国校長協会総会</v>
      </c>
      <c r="G14" s="225">
        <f>IF($R14=1,,VLOOKUP($D14,'1-2'!$D$4:$L$103,4))</f>
        <v>50000</v>
      </c>
      <c r="H14" s="317">
        <f>IF($R14=1,,VLOOKUP($D14,'1-2'!$D$4:$L$103,5))</f>
        <v>1</v>
      </c>
      <c r="I14" s="317">
        <f>IF($R14=1,,VLOOKUP($D14,'1-2'!$D$4:$L$103,6))</f>
        <v>1</v>
      </c>
      <c r="J14" s="318">
        <f>IF($R14=1,,VLOOKUP($D14,'1-2'!$D$4:$L$103,7))</f>
        <v>50000</v>
      </c>
      <c r="K14" s="319" t="str">
        <f t="shared" si="5"/>
        <v>全国校長協会総会</v>
      </c>
      <c r="L14" s="320">
        <v>47380</v>
      </c>
      <c r="M14" s="321">
        <f t="shared" si="7"/>
        <v>1</v>
      </c>
      <c r="N14" s="321">
        <f t="shared" si="8"/>
        <v>1</v>
      </c>
      <c r="O14" s="310">
        <f t="shared" si="2"/>
        <v>47380</v>
      </c>
      <c r="P14" s="311">
        <f>IF($R14=1,"",VLOOKUP($D14,'1-2'!$D$4:$L$103,8))</f>
        <v>0</v>
      </c>
      <c r="Q14" s="312">
        <f>IF($R14=1,"",VLOOKUP($D14,'1-2'!$D$4:$L$103,9))</f>
        <v>0</v>
      </c>
      <c r="R14" s="25">
        <f>IF(ISNA(MATCH($D14,'随時②-2'!$D$4:$D$18,0)),0,1)</f>
        <v>0</v>
      </c>
      <c r="S14" s="63">
        <f t="shared" si="1"/>
      </c>
      <c r="T14" s="63">
        <f t="shared" si="3"/>
      </c>
      <c r="U14" s="5">
        <f t="shared" si="4"/>
        <v>2</v>
      </c>
    </row>
    <row r="15" spans="1:21" ht="13.5" customHeight="1">
      <c r="A15" s="313">
        <f>'1-2'!A15</f>
        <v>0</v>
      </c>
      <c r="B15" s="314">
        <f>'1-2'!B15</f>
        <v>0</v>
      </c>
      <c r="C15" s="479">
        <f>'1-2'!C15</f>
        <v>0</v>
      </c>
      <c r="D15" s="255">
        <v>12</v>
      </c>
      <c r="E15" s="315" t="str">
        <f>IF($R15=1,"",VLOOKUP($D15,'1-2'!$D$4:$L$103,2))</f>
        <v>消耗需用費</v>
      </c>
      <c r="F15" s="316" t="str">
        <f>IF($R15=1,"取消し",VLOOKUP($D15,'1-2'!$D$4:$L$103,3))</f>
        <v>全国校長協会総会資料代</v>
      </c>
      <c r="G15" s="225">
        <f>IF($R15=1,,VLOOKUP($D15,'1-2'!$D$4:$L$103,4))</f>
        <v>3000</v>
      </c>
      <c r="H15" s="317">
        <f>IF($R15=1,,VLOOKUP($D15,'1-2'!$D$4:$L$103,5))</f>
        <v>1</v>
      </c>
      <c r="I15" s="317">
        <f>IF($R15=1,,VLOOKUP($D15,'1-2'!$D$4:$L$103,6))</f>
        <v>1</v>
      </c>
      <c r="J15" s="318">
        <f>IF($R15=1,,VLOOKUP($D15,'1-2'!$D$4:$L$103,7))</f>
        <v>3000</v>
      </c>
      <c r="K15" s="319" t="str">
        <f t="shared" si="5"/>
        <v>全国校長協会総会資料代</v>
      </c>
      <c r="L15" s="320">
        <f aca="true" t="shared" si="9" ref="L15:L74">G15</f>
        <v>3000</v>
      </c>
      <c r="M15" s="321">
        <f t="shared" si="7"/>
        <v>1</v>
      </c>
      <c r="N15" s="321">
        <f t="shared" si="8"/>
        <v>1</v>
      </c>
      <c r="O15" s="310">
        <f t="shared" si="2"/>
        <v>3000</v>
      </c>
      <c r="P15" s="311">
        <f>IF($R15=1,"",VLOOKUP($D15,'1-2'!$D$4:$L$103,8))</f>
        <v>0</v>
      </c>
      <c r="Q15" s="312">
        <f>IF($R15=1,"",VLOOKUP($D15,'1-2'!$D$4:$L$103,9))</f>
        <v>0</v>
      </c>
      <c r="R15" s="25">
        <f>IF(ISNA(MATCH($D15,'随時②-2'!$D$4:$D$18,0)),0,1)</f>
        <v>0</v>
      </c>
      <c r="S15" s="63">
        <f t="shared" si="1"/>
      </c>
      <c r="T15" s="63">
        <f t="shared" si="3"/>
      </c>
      <c r="U15" s="5">
        <f t="shared" si="4"/>
        <v>7</v>
      </c>
    </row>
    <row r="16" spans="1:21" ht="13.5" customHeight="1">
      <c r="A16" s="313">
        <f>'1-2'!A16</f>
        <v>0</v>
      </c>
      <c r="B16" s="314">
        <f>'1-2'!B16</f>
        <v>0</v>
      </c>
      <c r="C16" s="479">
        <f>'1-2'!C16</f>
        <v>0</v>
      </c>
      <c r="D16" s="255">
        <v>13</v>
      </c>
      <c r="E16" s="315" t="str">
        <f>IF($R16=1,"",VLOOKUP($D16,'1-2'!$D$4:$L$103,2))</f>
        <v>負担金、補助及び交付金</v>
      </c>
      <c r="F16" s="316" t="str">
        <f>IF($R16=1,"取消し",VLOOKUP($D16,'1-2'!$D$4:$L$103,3))</f>
        <v>全国校長協会総会参加費</v>
      </c>
      <c r="G16" s="225">
        <f>IF($R16=1,,VLOOKUP($D16,'1-2'!$D$4:$L$103,4))</f>
        <v>2000</v>
      </c>
      <c r="H16" s="317">
        <f>IF($R16=1,,VLOOKUP($D16,'1-2'!$D$4:$L$103,5))</f>
        <v>1</v>
      </c>
      <c r="I16" s="317">
        <f>IF($R16=1,,VLOOKUP($D16,'1-2'!$D$4:$L$103,6))</f>
        <v>1</v>
      </c>
      <c r="J16" s="318">
        <f>IF($R16=1,,VLOOKUP($D16,'1-2'!$D$4:$L$103,7))</f>
        <v>2000</v>
      </c>
      <c r="K16" s="319" t="str">
        <f t="shared" si="5"/>
        <v>全国校長協会総会参加費</v>
      </c>
      <c r="L16" s="320">
        <f t="shared" si="9"/>
        <v>2000</v>
      </c>
      <c r="M16" s="321">
        <f t="shared" si="7"/>
        <v>1</v>
      </c>
      <c r="N16" s="321">
        <f t="shared" si="8"/>
        <v>1</v>
      </c>
      <c r="O16" s="310">
        <f t="shared" si="2"/>
        <v>2000</v>
      </c>
      <c r="P16" s="311">
        <f>IF($R16=1,"",VLOOKUP($D16,'1-2'!$D$4:$L$103,8))</f>
        <v>0</v>
      </c>
      <c r="Q16" s="312">
        <f>IF($R16=1,"",VLOOKUP($D16,'1-2'!$D$4:$L$103,9))</f>
        <v>0</v>
      </c>
      <c r="R16" s="25">
        <f>IF(ISNA(MATCH($D16,'随時②-2'!$D$4:$D$18,0)),0,1)</f>
        <v>0</v>
      </c>
      <c r="S16" s="63">
        <f t="shared" si="1"/>
      </c>
      <c r="T16" s="63">
        <f t="shared" si="3"/>
      </c>
      <c r="U16" s="5">
        <f t="shared" si="4"/>
        <v>9</v>
      </c>
    </row>
    <row r="17" spans="1:21" ht="13.5" customHeight="1">
      <c r="A17" s="313">
        <f>'1-2'!A17</f>
        <v>0</v>
      </c>
      <c r="B17" s="314">
        <f>'1-2'!B17</f>
        <v>0</v>
      </c>
      <c r="C17" s="479">
        <f>'1-2'!C17</f>
        <v>0</v>
      </c>
      <c r="D17" s="255">
        <v>14</v>
      </c>
      <c r="E17" s="315" t="str">
        <f>IF($R17=1,"",VLOOKUP($D17,'1-2'!$D$4:$L$103,2))</f>
        <v>旅費</v>
      </c>
      <c r="F17" s="316" t="str">
        <f>IF($R17=1,"取消し",VLOOKUP($D17,'1-2'!$D$4:$L$103,3))</f>
        <v>全国公立学校事務長会研究協議会並びに総会</v>
      </c>
      <c r="G17" s="225">
        <f>IF($R17=1,,VLOOKUP($D17,'1-2'!$D$4:$L$103,4))</f>
        <v>40000</v>
      </c>
      <c r="H17" s="317">
        <f>IF($R17=1,,VLOOKUP($D17,'1-2'!$D$4:$L$103,5))</f>
        <v>1</v>
      </c>
      <c r="I17" s="317">
        <f>IF($R17=1,,VLOOKUP($D17,'1-2'!$D$4:$L$103,6))</f>
        <v>1</v>
      </c>
      <c r="J17" s="318">
        <f>IF($R17=1,,VLOOKUP($D17,'1-2'!$D$4:$L$103,7))</f>
        <v>40000</v>
      </c>
      <c r="K17" s="319" t="str">
        <f t="shared" si="5"/>
        <v>全国公立学校事務長会研究協議会並びに総会</v>
      </c>
      <c r="L17" s="320">
        <v>38760</v>
      </c>
      <c r="M17" s="321">
        <f t="shared" si="7"/>
        <v>1</v>
      </c>
      <c r="N17" s="321">
        <f t="shared" si="8"/>
        <v>1</v>
      </c>
      <c r="O17" s="310">
        <f t="shared" si="2"/>
        <v>38760</v>
      </c>
      <c r="P17" s="311">
        <f>IF($R17=1,"",VLOOKUP($D17,'1-2'!$D$4:$L$103,8))</f>
        <v>0</v>
      </c>
      <c r="Q17" s="312">
        <f>IF($R17=1,"",VLOOKUP($D17,'1-2'!$D$4:$L$103,9))</f>
        <v>0</v>
      </c>
      <c r="R17" s="25">
        <f>IF(ISNA(MATCH($D17,'随時②-2'!$D$4:$D$18,0)),0,1)</f>
        <v>0</v>
      </c>
      <c r="S17" s="63">
        <f t="shared" si="1"/>
      </c>
      <c r="T17" s="63">
        <f t="shared" si="3"/>
      </c>
      <c r="U17" s="5">
        <f t="shared" si="4"/>
        <v>2</v>
      </c>
    </row>
    <row r="18" spans="1:21" ht="13.5" customHeight="1">
      <c r="A18" s="313">
        <f>'1-2'!A18</f>
        <v>0</v>
      </c>
      <c r="B18" s="314">
        <f>'1-2'!B18</f>
        <v>0</v>
      </c>
      <c r="C18" s="479">
        <f>'1-2'!C18</f>
        <v>0</v>
      </c>
      <c r="D18" s="255">
        <v>15</v>
      </c>
      <c r="E18" s="315">
        <f>IF($R18=1,"",VLOOKUP($D18,'1-2'!$D$4:$L$103,2))</f>
      </c>
      <c r="F18" s="316" t="str">
        <f>IF($R18=1,"取消し",VLOOKUP($D18,'1-2'!$D$4:$L$103,3))</f>
        <v>取消し</v>
      </c>
      <c r="G18" s="225">
        <f>IF($R18=1,,VLOOKUP($D18,'1-2'!$D$4:$L$103,4))</f>
        <v>0</v>
      </c>
      <c r="H18" s="317">
        <f>IF($R18=1,,VLOOKUP($D18,'1-2'!$D$4:$L$103,5))</f>
        <v>0</v>
      </c>
      <c r="I18" s="317">
        <f>IF($R18=1,,VLOOKUP($D18,'1-2'!$D$4:$L$103,6))</f>
        <v>0</v>
      </c>
      <c r="J18" s="318">
        <f>IF($R18=1,,VLOOKUP($D18,'1-2'!$D$4:$L$103,7))</f>
        <v>0</v>
      </c>
      <c r="K18" s="319" t="str">
        <f t="shared" si="5"/>
        <v>取消し</v>
      </c>
      <c r="L18" s="320">
        <f t="shared" si="9"/>
        <v>0</v>
      </c>
      <c r="M18" s="321">
        <f t="shared" si="7"/>
        <v>0</v>
      </c>
      <c r="N18" s="321">
        <f t="shared" si="8"/>
        <v>0</v>
      </c>
      <c r="O18" s="310">
        <f t="shared" si="2"/>
        <v>0</v>
      </c>
      <c r="P18" s="311">
        <f>IF($R18=1,"",VLOOKUP($D18,'1-2'!$D$4:$L$103,8))</f>
      </c>
      <c r="Q18" s="312">
        <f>IF($R18=1,"",VLOOKUP($D18,'1-2'!$D$4:$L$103,9))</f>
      </c>
      <c r="R18" s="25">
        <f>IF(ISNA(MATCH($D18,'随時②-2'!$D$4:$D$18,0)),0,1)</f>
        <v>1</v>
      </c>
      <c r="S18" s="63">
        <f t="shared" si="1"/>
      </c>
      <c r="T18" s="63">
        <f t="shared" si="3"/>
      </c>
      <c r="U18" s="5" t="e">
        <f t="shared" si="4"/>
        <v>#N/A</v>
      </c>
    </row>
    <row r="19" spans="1:21" ht="13.5" customHeight="1">
      <c r="A19" s="313">
        <f>'1-2'!A19</f>
        <v>0</v>
      </c>
      <c r="B19" s="314">
        <f>'1-2'!B19</f>
        <v>0</v>
      </c>
      <c r="C19" s="479">
        <f>'1-2'!C19</f>
        <v>0</v>
      </c>
      <c r="D19" s="255">
        <v>16</v>
      </c>
      <c r="E19" s="315">
        <f>IF($R19=1,"",VLOOKUP($D19,'1-2'!$D$4:$L$103,2))</f>
        <v>0</v>
      </c>
      <c r="F19" s="316">
        <f>IF($R19=1,"取消し",VLOOKUP($D19,'1-2'!$D$4:$L$103,3))</f>
        <v>0</v>
      </c>
      <c r="G19" s="225">
        <f>IF($R19=1,,VLOOKUP($D19,'1-2'!$D$4:$L$103,4))</f>
        <v>0</v>
      </c>
      <c r="H19" s="317">
        <f>IF($R19=1,,VLOOKUP($D19,'1-2'!$D$4:$L$103,5))</f>
        <v>0</v>
      </c>
      <c r="I19" s="317">
        <f>IF($R19=1,,VLOOKUP($D19,'1-2'!$D$4:$L$103,6))</f>
        <v>0</v>
      </c>
      <c r="J19" s="318">
        <f>IF($R19=1,,VLOOKUP($D19,'1-2'!$D$4:$L$103,7))</f>
        <v>0</v>
      </c>
      <c r="K19" s="319">
        <f t="shared" si="5"/>
        <v>0</v>
      </c>
      <c r="L19" s="320">
        <f t="shared" si="9"/>
        <v>0</v>
      </c>
      <c r="M19" s="321">
        <f t="shared" si="7"/>
        <v>0</v>
      </c>
      <c r="N19" s="321">
        <f t="shared" si="8"/>
        <v>0</v>
      </c>
      <c r="O19" s="310">
        <f t="shared" si="2"/>
        <v>0</v>
      </c>
      <c r="P19" s="311">
        <f>IF($R19=1,"",VLOOKUP($D19,'1-2'!$D$4:$L$103,8))</f>
        <v>0</v>
      </c>
      <c r="Q19" s="312">
        <f>IF($R19=1,"",VLOOKUP($D19,'1-2'!$D$4:$L$103,9))</f>
        <v>0</v>
      </c>
      <c r="R19" s="25">
        <f>IF(ISNA(MATCH($D19,'随時②-2'!$D$4:$D$18,0)),0,1)</f>
        <v>0</v>
      </c>
      <c r="S19" s="63">
        <f t="shared" si="1"/>
      </c>
      <c r="T19" s="63">
        <f t="shared" si="3"/>
      </c>
      <c r="U19" s="5">
        <f t="shared" si="4"/>
      </c>
    </row>
    <row r="20" spans="1:21" ht="13.5" customHeight="1">
      <c r="A20" s="313">
        <f>'1-2'!A20</f>
        <v>0</v>
      </c>
      <c r="B20" s="314">
        <f>'1-2'!B20</f>
        <v>0</v>
      </c>
      <c r="C20" s="479">
        <f>'1-2'!C20</f>
        <v>0</v>
      </c>
      <c r="D20" s="255">
        <v>17</v>
      </c>
      <c r="E20" s="315">
        <f>IF($R20=1,"",VLOOKUP($D20,'1-2'!$D$4:$L$103,2))</f>
        <v>0</v>
      </c>
      <c r="F20" s="316">
        <f>IF($R20=1,"取消し",VLOOKUP($D20,'1-2'!$D$4:$L$103,3))</f>
        <v>0</v>
      </c>
      <c r="G20" s="225">
        <f>IF($R20=1,,VLOOKUP($D20,'1-2'!$D$4:$L$103,4))</f>
        <v>0</v>
      </c>
      <c r="H20" s="317">
        <f>IF($R20=1,,VLOOKUP($D20,'1-2'!$D$4:$L$103,5))</f>
        <v>0</v>
      </c>
      <c r="I20" s="317">
        <f>IF($R20=1,,VLOOKUP($D20,'1-2'!$D$4:$L$103,6))</f>
        <v>0</v>
      </c>
      <c r="J20" s="318">
        <f>IF($R20=1,,VLOOKUP($D20,'1-2'!$D$4:$L$103,7))</f>
        <v>0</v>
      </c>
      <c r="K20" s="319">
        <f t="shared" si="5"/>
        <v>0</v>
      </c>
      <c r="L20" s="320">
        <f t="shared" si="9"/>
        <v>0</v>
      </c>
      <c r="M20" s="321">
        <f t="shared" si="7"/>
        <v>0</v>
      </c>
      <c r="N20" s="321">
        <f t="shared" si="8"/>
        <v>0</v>
      </c>
      <c r="O20" s="310">
        <f t="shared" si="2"/>
        <v>0</v>
      </c>
      <c r="P20" s="311">
        <f>IF($R20=1,"",VLOOKUP($D20,'1-2'!$D$4:$L$103,8))</f>
        <v>0</v>
      </c>
      <c r="Q20" s="312">
        <f>IF($R20=1,"",VLOOKUP($D20,'1-2'!$D$4:$L$103,9))</f>
        <v>0</v>
      </c>
      <c r="R20" s="25">
        <f>IF(ISNA(MATCH($D20,'随時②-2'!$D$4:$D$18,0)),0,1)</f>
        <v>0</v>
      </c>
      <c r="S20" s="63">
        <f t="shared" si="1"/>
      </c>
      <c r="T20" s="63">
        <f t="shared" si="3"/>
      </c>
      <c r="U20" s="5">
        <f t="shared" si="4"/>
      </c>
    </row>
    <row r="21" spans="1:21" ht="13.5" customHeight="1">
      <c r="A21" s="313">
        <f>'1-2'!A21</f>
        <v>0</v>
      </c>
      <c r="B21" s="314">
        <f>'1-2'!B21</f>
        <v>0</v>
      </c>
      <c r="C21" s="479">
        <f>'1-2'!C21</f>
        <v>0</v>
      </c>
      <c r="D21" s="255">
        <v>18</v>
      </c>
      <c r="E21" s="315">
        <f>IF($R21=1,"",VLOOKUP($D21,'1-2'!$D$4:$L$103,2))</f>
        <v>0</v>
      </c>
      <c r="F21" s="316">
        <f>IF($R21=1,"取消し",VLOOKUP($D21,'1-2'!$D$4:$L$103,3))</f>
        <v>0</v>
      </c>
      <c r="G21" s="225">
        <f>IF($R21=1,,VLOOKUP($D21,'1-2'!$D$4:$L$103,4))</f>
        <v>0</v>
      </c>
      <c r="H21" s="317">
        <f>IF($R21=1,,VLOOKUP($D21,'1-2'!$D$4:$L$103,5))</f>
        <v>0</v>
      </c>
      <c r="I21" s="317">
        <f>IF($R21=1,,VLOOKUP($D21,'1-2'!$D$4:$L$103,6))</f>
        <v>0</v>
      </c>
      <c r="J21" s="318">
        <f>IF($R21=1,,VLOOKUP($D21,'1-2'!$D$4:$L$103,7))</f>
        <v>0</v>
      </c>
      <c r="K21" s="319">
        <f t="shared" si="5"/>
        <v>0</v>
      </c>
      <c r="L21" s="320">
        <f t="shared" si="9"/>
        <v>0</v>
      </c>
      <c r="M21" s="321">
        <f t="shared" si="7"/>
        <v>0</v>
      </c>
      <c r="N21" s="321">
        <f t="shared" si="8"/>
        <v>0</v>
      </c>
      <c r="O21" s="310">
        <f t="shared" si="2"/>
        <v>0</v>
      </c>
      <c r="P21" s="311">
        <f>IF($R21=1,"",VLOOKUP($D21,'1-2'!$D$4:$L$103,8))</f>
        <v>0</v>
      </c>
      <c r="Q21" s="312">
        <f>IF($R21=1,"",VLOOKUP($D21,'1-2'!$D$4:$L$103,9))</f>
        <v>0</v>
      </c>
      <c r="R21" s="25">
        <f>IF(ISNA(MATCH($D21,'随時②-2'!$D$4:$D$18,0)),0,1)</f>
        <v>0</v>
      </c>
      <c r="S21" s="63">
        <f t="shared" si="1"/>
      </c>
      <c r="T21" s="63">
        <f t="shared" si="3"/>
      </c>
      <c r="U21" s="5">
        <f t="shared" si="4"/>
      </c>
    </row>
    <row r="22" spans="1:21" ht="13.5" customHeight="1">
      <c r="A22" s="313">
        <f>'1-2'!A22</f>
        <v>0</v>
      </c>
      <c r="B22" s="314">
        <f>'1-2'!B22</f>
        <v>0</v>
      </c>
      <c r="C22" s="479">
        <f>'1-2'!C22</f>
        <v>0</v>
      </c>
      <c r="D22" s="255">
        <v>19</v>
      </c>
      <c r="E22" s="315">
        <f>IF($R22=1,"",VLOOKUP($D22,'1-2'!$D$4:$L$103,2))</f>
        <v>0</v>
      </c>
      <c r="F22" s="316">
        <f>IF($R22=1,"取消し",VLOOKUP($D22,'1-2'!$D$4:$L$103,3))</f>
        <v>0</v>
      </c>
      <c r="G22" s="225">
        <f>IF($R22=1,,VLOOKUP($D22,'1-2'!$D$4:$L$103,4))</f>
        <v>0</v>
      </c>
      <c r="H22" s="317">
        <f>IF($R22=1,,VLOOKUP($D22,'1-2'!$D$4:$L$103,5))</f>
        <v>0</v>
      </c>
      <c r="I22" s="317">
        <f>IF($R22=1,,VLOOKUP($D22,'1-2'!$D$4:$L$103,6))</f>
        <v>0</v>
      </c>
      <c r="J22" s="318">
        <f>IF($R22=1,,VLOOKUP($D22,'1-2'!$D$4:$L$103,7))</f>
        <v>0</v>
      </c>
      <c r="K22" s="319">
        <f t="shared" si="5"/>
        <v>0</v>
      </c>
      <c r="L22" s="320">
        <f t="shared" si="9"/>
        <v>0</v>
      </c>
      <c r="M22" s="321">
        <f t="shared" si="7"/>
        <v>0</v>
      </c>
      <c r="N22" s="321">
        <f t="shared" si="8"/>
        <v>0</v>
      </c>
      <c r="O22" s="310">
        <f t="shared" si="2"/>
        <v>0</v>
      </c>
      <c r="P22" s="311">
        <f>IF($R22=1,"",VLOOKUP($D22,'1-2'!$D$4:$L$103,8))</f>
        <v>0</v>
      </c>
      <c r="Q22" s="312">
        <f>IF($R22=1,"",VLOOKUP($D22,'1-2'!$D$4:$L$103,9))</f>
        <v>0</v>
      </c>
      <c r="R22" s="25">
        <f>IF(ISNA(MATCH($D22,'随時②-2'!$D$4:$D$18,0)),0,1)</f>
        <v>0</v>
      </c>
      <c r="S22" s="63">
        <f t="shared" si="1"/>
      </c>
      <c r="T22" s="63">
        <f t="shared" si="3"/>
      </c>
      <c r="U22" s="5">
        <f t="shared" si="4"/>
      </c>
    </row>
    <row r="23" spans="1:21" ht="13.5" customHeight="1">
      <c r="A23" s="313">
        <f>'1-2'!A23</f>
        <v>0</v>
      </c>
      <c r="B23" s="314">
        <f>'1-2'!B23</f>
        <v>0</v>
      </c>
      <c r="C23" s="479">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9"/>
        <v>0</v>
      </c>
      <c r="M23" s="321">
        <f t="shared" si="7"/>
        <v>0</v>
      </c>
      <c r="N23" s="321">
        <f t="shared" si="8"/>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79">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9"/>
        <v>0</v>
      </c>
      <c r="M24" s="321">
        <f t="shared" si="7"/>
        <v>0</v>
      </c>
      <c r="N24" s="321">
        <f t="shared" si="8"/>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79">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9"/>
        <v>0</v>
      </c>
      <c r="M25" s="321">
        <f t="shared" si="7"/>
        <v>0</v>
      </c>
      <c r="N25" s="321">
        <f t="shared" si="8"/>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79">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9"/>
        <v>0</v>
      </c>
      <c r="M26" s="321">
        <f t="shared" si="7"/>
        <v>0</v>
      </c>
      <c r="N26" s="321">
        <f t="shared" si="8"/>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79">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9"/>
        <v>0</v>
      </c>
      <c r="M27" s="321">
        <f t="shared" si="7"/>
        <v>0</v>
      </c>
      <c r="N27" s="321">
        <f t="shared" si="8"/>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79">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9"/>
        <v>0</v>
      </c>
      <c r="M28" s="321">
        <f t="shared" si="7"/>
        <v>0</v>
      </c>
      <c r="N28" s="321">
        <f t="shared" si="8"/>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79">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9"/>
        <v>0</v>
      </c>
      <c r="M29" s="321">
        <f t="shared" si="7"/>
        <v>0</v>
      </c>
      <c r="N29" s="321">
        <f t="shared" si="8"/>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79">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9"/>
        <v>0</v>
      </c>
      <c r="M30" s="321">
        <f t="shared" si="7"/>
        <v>0</v>
      </c>
      <c r="N30" s="321">
        <f t="shared" si="8"/>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79">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9"/>
        <v>0</v>
      </c>
      <c r="M31" s="321">
        <f t="shared" si="7"/>
        <v>0</v>
      </c>
      <c r="N31" s="321">
        <f t="shared" si="8"/>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79">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9"/>
        <v>0</v>
      </c>
      <c r="M32" s="321">
        <f t="shared" si="7"/>
        <v>0</v>
      </c>
      <c r="N32" s="321">
        <f t="shared" si="8"/>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79">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9"/>
        <v>0</v>
      </c>
      <c r="M33" s="321">
        <f t="shared" si="7"/>
        <v>0</v>
      </c>
      <c r="N33" s="321">
        <f t="shared" si="8"/>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79">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9"/>
        <v>0</v>
      </c>
      <c r="M34" s="321">
        <f t="shared" si="7"/>
        <v>0</v>
      </c>
      <c r="N34" s="321">
        <f t="shared" si="8"/>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79">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9"/>
        <v>0</v>
      </c>
      <c r="M35" s="321">
        <f t="shared" si="7"/>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79">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9"/>
        <v>0</v>
      </c>
      <c r="M36" s="321">
        <f t="shared" si="7"/>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79">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9"/>
        <v>0</v>
      </c>
      <c r="M37" s="321">
        <f t="shared" si="7"/>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79">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9"/>
        <v>0</v>
      </c>
      <c r="M38" s="321">
        <f t="shared" si="7"/>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79">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9"/>
        <v>0</v>
      </c>
      <c r="M39" s="321">
        <f t="shared" si="7"/>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79">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9"/>
        <v>0</v>
      </c>
      <c r="M40" s="321">
        <f t="shared" si="7"/>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79">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9"/>
        <v>0</v>
      </c>
      <c r="M41" s="321">
        <f t="shared" si="7"/>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79">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9"/>
        <v>0</v>
      </c>
      <c r="M42" s="321">
        <f t="shared" si="7"/>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79">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9"/>
        <v>0</v>
      </c>
      <c r="M43" s="321">
        <f t="shared" si="7"/>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79">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9"/>
        <v>0</v>
      </c>
      <c r="M44" s="321">
        <f t="shared" si="7"/>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79">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9"/>
        <v>0</v>
      </c>
      <c r="M45" s="321">
        <f t="shared" si="7"/>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79">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9"/>
        <v>0</v>
      </c>
      <c r="M46" s="321">
        <f t="shared" si="7"/>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79">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9"/>
        <v>0</v>
      </c>
      <c r="M47" s="321">
        <f t="shared" si="7"/>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79">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9"/>
        <v>0</v>
      </c>
      <c r="M48" s="321">
        <f t="shared" si="7"/>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79">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9"/>
        <v>0</v>
      </c>
      <c r="M49" s="321">
        <f t="shared" si="7"/>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79">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7"/>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79">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7"/>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79">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7"/>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79">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7"/>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79">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9"/>
        <v>0</v>
      </c>
      <c r="M54" s="321">
        <f t="shared" si="7"/>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79">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7"/>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79">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7"/>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79">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7"/>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79">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7"/>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79">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7"/>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79">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7"/>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79">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7"/>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79">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7"/>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79">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7"/>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79">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7"/>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79">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7"/>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79">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7"/>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79">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7"/>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79">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7"/>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79">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7"/>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79">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9"/>
        <v>0</v>
      </c>
      <c r="M70" s="321">
        <f t="shared" si="7"/>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79">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7"/>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79">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7"/>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79">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7"/>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79">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7"/>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79">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79">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79">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79">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79">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79">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79">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79">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79">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79">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79">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79">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79">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79">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79">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79">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79">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79">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79">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79">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79">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79">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79">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79">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79">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79">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79">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79">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0">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5</v>
      </c>
      <c r="B104" s="339" t="str">
        <f>'随時①-2'!B4</f>
        <v>2-(1)-エ</v>
      </c>
      <c r="C104" s="481" t="str">
        <f>'随時①-2'!C4</f>
        <v>コミュニケーションコース授業の充実</v>
      </c>
      <c r="D104" s="264">
        <v>101</v>
      </c>
      <c r="E104" s="316" t="str">
        <f>IF($R104=1,"",VLOOKUP($D104,'随時①-2'!$D$4:$L$23,2))</f>
        <v>報償費</v>
      </c>
      <c r="F104" s="316" t="str">
        <f>IF($R104=1,"取消し",VLOOKUP($D104,'随時①-2'!$D$4:$L$23,3))</f>
        <v>「コミュニケーション総合」講師謝礼</v>
      </c>
      <c r="G104" s="225">
        <f>IF($R104=1,,VLOOKUP($D104,'随時①-2'!$D$4:$L$23,4))</f>
        <v>50000</v>
      </c>
      <c r="H104" s="317">
        <f>IF($R104=1,,VLOOKUP($D104,'随時①-2'!$D$4:$L$23,5))</f>
        <v>1</v>
      </c>
      <c r="I104" s="317">
        <f>IF($R104=1,,VLOOKUP($D104,'随時①-2'!$D$4:$L$23,6))</f>
        <v>1</v>
      </c>
      <c r="J104" s="225">
        <f>IF($R104=1,,VLOOKUP($D104,'随時①-2'!$D$4:$L$23,7))</f>
        <v>50000</v>
      </c>
      <c r="K104" s="340" t="str">
        <f t="shared" si="14"/>
        <v>「コミュニケーション総合」講師謝礼</v>
      </c>
      <c r="L104" s="341">
        <f t="shared" si="15"/>
        <v>50000</v>
      </c>
      <c r="M104" s="342">
        <f t="shared" si="16"/>
        <v>1</v>
      </c>
      <c r="N104" s="342">
        <f t="shared" si="17"/>
        <v>1</v>
      </c>
      <c r="O104" s="343">
        <f t="shared" si="11"/>
        <v>50000</v>
      </c>
      <c r="P104" s="344">
        <f>IF($R104=1,"",VLOOKUP($D104,'随時①-2'!$D$4:$L$23,8))</f>
        <v>0</v>
      </c>
      <c r="Q104" s="345" t="str">
        <f>IF($R104=1,"",VLOOKUP($D104,'随時①-2'!$D$4:$L$23,9))</f>
        <v>5月30日までに配当希望</v>
      </c>
      <c r="R104" s="25">
        <f>IF(ISNA(MATCH($D104,'随時②-2'!$D$4:$D$18,0)),0,1)</f>
        <v>0</v>
      </c>
      <c r="S104" s="63">
        <f t="shared" si="10"/>
      </c>
      <c r="T104" s="63">
        <f t="shared" si="12"/>
      </c>
      <c r="U104" s="5">
        <f t="shared" si="13"/>
        <v>1</v>
      </c>
    </row>
    <row r="105" spans="1:21" ht="13.5" customHeight="1">
      <c r="A105" s="338">
        <f>'随時①-2'!A5</f>
        <v>5</v>
      </c>
      <c r="B105" s="339" t="str">
        <f>'随時①-2'!B5</f>
        <v>2-(1)-エ</v>
      </c>
      <c r="C105" s="481" t="str">
        <f>'随時①-2'!C5</f>
        <v>コミュニケーションコース授業の充実</v>
      </c>
      <c r="D105" s="255">
        <v>102</v>
      </c>
      <c r="E105" s="315" t="str">
        <f>IF($R105=1,"",VLOOKUP($D105,'随時①-2'!$D$4:$L$23,2))</f>
        <v>消耗需用費</v>
      </c>
      <c r="F105" s="315" t="str">
        <f>IF($R105=1,"取消し",VLOOKUP($D105,'随時①-2'!$D$4:$L$23,3))</f>
        <v>落語家用座布団</v>
      </c>
      <c r="G105" s="322">
        <f>IF($R105=1,,VLOOKUP($D105,'随時①-2'!$D$4:$L$23,4))</f>
        <v>7000</v>
      </c>
      <c r="H105" s="323">
        <f>IF($R105=1,,VLOOKUP($D105,'随時①-2'!$D$4:$L$23,5))</f>
        <v>1</v>
      </c>
      <c r="I105" s="323">
        <f>IF($R105=1,,VLOOKUP($D105,'随時①-2'!$D$4:$L$23,6))</f>
        <v>1</v>
      </c>
      <c r="J105" s="322">
        <f>IF($R105=1,,VLOOKUP($D105,'随時①-2'!$D$4:$L$23,7))</f>
        <v>7000</v>
      </c>
      <c r="K105" s="319" t="str">
        <f t="shared" si="14"/>
        <v>落語家用座布団</v>
      </c>
      <c r="L105" s="320">
        <v>4698</v>
      </c>
      <c r="M105" s="321">
        <f t="shared" si="16"/>
        <v>1</v>
      </c>
      <c r="N105" s="321">
        <f t="shared" si="17"/>
        <v>1</v>
      </c>
      <c r="O105" s="310">
        <f t="shared" si="11"/>
        <v>4698</v>
      </c>
      <c r="P105" s="311">
        <f>IF($R105=1,"",VLOOKUP($D105,'随時①-2'!$D$4:$L$23,8))</f>
        <v>0</v>
      </c>
      <c r="Q105" s="312" t="str">
        <f>IF($R105=1,"",VLOOKUP($D105,'随時①-2'!$D$4:$L$23,9))</f>
        <v>5月30日までに配当希望</v>
      </c>
      <c r="R105" s="25">
        <f>IF(ISNA(MATCH($D105,'随時②-2'!$D$4:$D$18,0)),0,1)</f>
        <v>0</v>
      </c>
      <c r="S105" s="63">
        <f t="shared" si="10"/>
      </c>
      <c r="T105" s="63">
        <f t="shared" si="12"/>
      </c>
      <c r="U105" s="5">
        <f t="shared" si="13"/>
        <v>7</v>
      </c>
    </row>
    <row r="106" spans="1:21" ht="13.5" customHeight="1">
      <c r="A106" s="338">
        <f>'随時①-2'!A6</f>
        <v>9</v>
      </c>
      <c r="B106" s="339" t="str">
        <f>'随時①-2'!B6</f>
        <v>3-(2)-イ</v>
      </c>
      <c r="C106" s="481" t="str">
        <f>'随時①-2'!C6</f>
        <v>広報活動の充実</v>
      </c>
      <c r="D106" s="255">
        <v>103</v>
      </c>
      <c r="E106" s="315" t="str">
        <f>IF($R106=1,"",VLOOKUP($D106,'随時①-2'!$D$4:$L$23,2))</f>
        <v>備品購入費</v>
      </c>
      <c r="F106" s="315" t="str">
        <f>IF($R106=1,"取消し",VLOOKUP($D106,'随時①-2'!$D$4:$L$23,3))</f>
        <v>広報活動用モバイルタブレットＰＣ</v>
      </c>
      <c r="G106" s="322">
        <f>IF($R106=1,,VLOOKUP($D106,'随時①-2'!$D$4:$L$23,4))</f>
        <v>150000</v>
      </c>
      <c r="H106" s="323">
        <f>IF($R106=1,,VLOOKUP($D106,'随時①-2'!$D$4:$L$23,5))</f>
        <v>1</v>
      </c>
      <c r="I106" s="323">
        <f>IF($R106=1,,VLOOKUP($D106,'随時①-2'!$D$4:$L$23,6))</f>
        <v>1</v>
      </c>
      <c r="J106" s="322">
        <f>IF($R106=1,,VLOOKUP($D106,'随時①-2'!$D$4:$L$23,7))</f>
        <v>150000</v>
      </c>
      <c r="K106" s="319" t="str">
        <f t="shared" si="14"/>
        <v>広報活動用モバイルタブレットＰＣ</v>
      </c>
      <c r="L106" s="320">
        <v>140292</v>
      </c>
      <c r="M106" s="321">
        <f t="shared" si="16"/>
        <v>1</v>
      </c>
      <c r="N106" s="321">
        <f t="shared" si="17"/>
        <v>1</v>
      </c>
      <c r="O106" s="310">
        <f t="shared" si="11"/>
        <v>140292</v>
      </c>
      <c r="P106" s="311">
        <f>IF($R106=1,"",VLOOKUP($D106,'随時①-2'!$D$4:$L$23,8))</f>
        <v>0</v>
      </c>
      <c r="Q106" s="312" t="str">
        <f>IF($R106=1,"",VLOOKUP($D106,'随時①-2'!$D$4:$L$23,9))</f>
        <v>5月２２日までに配当希望</v>
      </c>
      <c r="R106" s="25">
        <f>IF(ISNA(MATCH($D106,'随時②-2'!$D$4:$D$18,0)),0,1)</f>
        <v>0</v>
      </c>
      <c r="S106" s="63">
        <f t="shared" si="10"/>
      </c>
      <c r="T106" s="63">
        <f t="shared" si="12"/>
      </c>
      <c r="U106" s="5">
        <f t="shared" si="13"/>
        <v>8</v>
      </c>
    </row>
    <row r="107" spans="1:21" ht="13.5" customHeight="1">
      <c r="A107" s="338">
        <f>'随時①-2'!A7</f>
        <v>9</v>
      </c>
      <c r="B107" s="339" t="str">
        <f>'随時①-2'!B7</f>
        <v>3-(2)-イ</v>
      </c>
      <c r="C107" s="481" t="str">
        <f>'随時①-2'!C7</f>
        <v>広報活動の充実</v>
      </c>
      <c r="D107" s="255">
        <v>104</v>
      </c>
      <c r="E107" s="315" t="str">
        <f>IF($R107=1,"",VLOOKUP($D107,'随時①-2'!$D$4:$L$23,2))</f>
        <v>消耗需用費</v>
      </c>
      <c r="F107" s="315" t="str">
        <f>IF($R107=1,"取消し",VLOOKUP($D107,'随時①-2'!$D$4:$L$23,3))</f>
        <v>学校紹介ポスター制作</v>
      </c>
      <c r="G107" s="322">
        <f>IF($R107=1,,VLOOKUP($D107,'随時①-2'!$D$4:$L$23,4))</f>
        <v>80</v>
      </c>
      <c r="H107" s="323">
        <f>IF($R107=1,,VLOOKUP($D107,'随時①-2'!$D$4:$L$23,5))</f>
        <v>300</v>
      </c>
      <c r="I107" s="323">
        <f>IF($R107=1,,VLOOKUP($D107,'随時①-2'!$D$4:$L$23,6))</f>
        <v>1</v>
      </c>
      <c r="J107" s="322">
        <f>IF($R107=1,,VLOOKUP($D107,'随時①-2'!$D$4:$L$23,7))</f>
        <v>24000</v>
      </c>
      <c r="K107" s="319" t="str">
        <f t="shared" si="14"/>
        <v>学校紹介ポスター制作</v>
      </c>
      <c r="L107" s="489">
        <v>57.7</v>
      </c>
      <c r="M107" s="321">
        <f t="shared" si="16"/>
        <v>300</v>
      </c>
      <c r="N107" s="321">
        <f t="shared" si="17"/>
        <v>1</v>
      </c>
      <c r="O107" s="310">
        <f t="shared" si="11"/>
        <v>17310</v>
      </c>
      <c r="P107" s="311">
        <f>IF($R107=1,"",VLOOKUP($D107,'随時①-2'!$D$4:$L$23,8))</f>
        <v>0</v>
      </c>
      <c r="Q107" s="312" t="str">
        <f>IF($R107=1,"",VLOOKUP($D107,'随時①-2'!$D$4:$L$23,9))</f>
        <v>5月２２日までに配当希望</v>
      </c>
      <c r="R107" s="25">
        <f>IF(ISNA(MATCH($D107,'随時②-2'!$D$4:$D$18,0)),0,1)</f>
        <v>0</v>
      </c>
      <c r="S107" s="63">
        <f t="shared" si="10"/>
      </c>
      <c r="T107" s="63">
        <f t="shared" si="12"/>
      </c>
      <c r="U107" s="5">
        <f t="shared" si="13"/>
        <v>7</v>
      </c>
    </row>
    <row r="108" spans="1:21" ht="13.5" customHeight="1">
      <c r="A108" s="338">
        <f>'随時①-2'!A8</f>
        <v>9</v>
      </c>
      <c r="B108" s="339" t="str">
        <f>'随時①-2'!B8</f>
        <v>3-(2)-イ</v>
      </c>
      <c r="C108" s="481" t="str">
        <f>'随時①-2'!C8</f>
        <v>広報活動の充実</v>
      </c>
      <c r="D108" s="255">
        <v>105</v>
      </c>
      <c r="E108" s="315" t="str">
        <f>IF($R108=1,"",VLOOKUP($D108,'随時①-2'!$D$4:$L$23,2))</f>
        <v>役務費</v>
      </c>
      <c r="F108" s="315" t="str">
        <f>IF($R108=1,"取消し",VLOOKUP($D108,'随時①-2'!$D$4:$L$23,3))</f>
        <v>学校紹介ポスター送料</v>
      </c>
      <c r="G108" s="322">
        <f>IF($R108=1,,VLOOKUP($D108,'随時①-2'!$D$4:$L$23,4))</f>
        <v>100</v>
      </c>
      <c r="H108" s="323">
        <f>IF($R108=1,,VLOOKUP($D108,'随時①-2'!$D$4:$L$23,5))</f>
        <v>160</v>
      </c>
      <c r="I108" s="323">
        <f>IF($R108=1,,VLOOKUP($D108,'随時①-2'!$D$4:$L$23,6))</f>
        <v>1</v>
      </c>
      <c r="J108" s="322">
        <f>IF($R108=1,,VLOOKUP($D108,'随時①-2'!$D$4:$L$23,7))</f>
        <v>16000</v>
      </c>
      <c r="K108" s="319" t="str">
        <f t="shared" si="14"/>
        <v>学校紹介ポスター送料</v>
      </c>
      <c r="L108" s="320">
        <v>82</v>
      </c>
      <c r="M108" s="321">
        <v>157</v>
      </c>
      <c r="N108" s="321">
        <f t="shared" si="17"/>
        <v>1</v>
      </c>
      <c r="O108" s="310">
        <f t="shared" si="11"/>
        <v>12874</v>
      </c>
      <c r="P108" s="311">
        <f>IF($R108=1,"",VLOOKUP($D108,'随時①-2'!$D$4:$L$23,8))</f>
        <v>0</v>
      </c>
      <c r="Q108" s="312" t="str">
        <f>IF($R108=1,"",VLOOKUP($D108,'随時①-2'!$D$4:$L$23,9))</f>
        <v>5月２２日までに配当希望</v>
      </c>
      <c r="R108" s="25">
        <f>IF(ISNA(MATCH($D108,'随時②-2'!$D$4:$D$18,0)),0,1)</f>
        <v>0</v>
      </c>
      <c r="S108" s="63">
        <f t="shared" si="10"/>
      </c>
      <c r="T108" s="63">
        <f t="shared" si="12"/>
      </c>
      <c r="U108" s="5">
        <f t="shared" si="13"/>
        <v>5</v>
      </c>
    </row>
    <row r="109" spans="1:21" ht="13.5" customHeight="1">
      <c r="A109" s="338">
        <f>'随時①-2'!A9</f>
        <v>9</v>
      </c>
      <c r="B109" s="339" t="str">
        <f>'随時①-2'!B9</f>
        <v>3-(2)-イ</v>
      </c>
      <c r="C109" s="481" t="str">
        <f>'随時①-2'!C9</f>
        <v>広報活動の充実</v>
      </c>
      <c r="D109" s="255">
        <v>106</v>
      </c>
      <c r="E109" s="315">
        <f>IF($R109=1,"",VLOOKUP($D109,'随時①-2'!$D$4:$L$23,2))</f>
      </c>
      <c r="F109" s="315" t="str">
        <f>IF($R109=1,"取消し",VLOOKUP($D109,'随時①-2'!$D$4:$L$23,3))</f>
        <v>取消し</v>
      </c>
      <c r="G109" s="322">
        <f>IF($R109=1,,VLOOKUP($D109,'随時①-2'!$D$4:$L$23,4))</f>
        <v>0</v>
      </c>
      <c r="H109" s="323">
        <f>IF($R109=1,,VLOOKUP($D109,'随時①-2'!$D$4:$L$23,5))</f>
        <v>0</v>
      </c>
      <c r="I109" s="323">
        <f>IF($R109=1,,VLOOKUP($D109,'随時①-2'!$D$4:$L$23,6))</f>
        <v>0</v>
      </c>
      <c r="J109" s="322">
        <f>IF($R109=1,,VLOOKUP($D109,'随時①-2'!$D$4:$L$23,7))</f>
        <v>0</v>
      </c>
      <c r="K109" s="319" t="str">
        <f t="shared" si="14"/>
        <v>取消し</v>
      </c>
      <c r="L109" s="320">
        <f t="shared" si="15"/>
        <v>0</v>
      </c>
      <c r="M109" s="321">
        <f t="shared" si="16"/>
        <v>0</v>
      </c>
      <c r="N109" s="321">
        <f t="shared" si="17"/>
        <v>0</v>
      </c>
      <c r="O109" s="310">
        <f t="shared" si="11"/>
        <v>0</v>
      </c>
      <c r="P109" s="311">
        <f>IF($R109=1,"",VLOOKUP($D109,'随時①-2'!$D$4:$L$23,8))</f>
      </c>
      <c r="Q109" s="312">
        <f>IF($R109=1,"",VLOOKUP($D109,'随時①-2'!$D$4:$L$23,9))</f>
      </c>
      <c r="R109" s="25">
        <f>IF(ISNA(MATCH($D109,'随時②-2'!$D$4:$D$18,0)),0,1)</f>
        <v>1</v>
      </c>
      <c r="S109" s="63">
        <f t="shared" si="10"/>
      </c>
      <c r="T109" s="63">
        <f t="shared" si="12"/>
      </c>
      <c r="U109" s="5" t="e">
        <f t="shared" si="13"/>
        <v>#N/A</v>
      </c>
    </row>
    <row r="110" spans="1:21" ht="13.5" customHeight="1">
      <c r="A110" s="338">
        <f>'随時①-2'!A10</f>
        <v>0</v>
      </c>
      <c r="B110" s="339">
        <f>'随時①-2'!B10</f>
        <v>0</v>
      </c>
      <c r="C110" s="481">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1">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1">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1">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1">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1">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1">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1">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1">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1">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1">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1">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1">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0">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9</v>
      </c>
      <c r="B124" s="339" t="str">
        <f>'随時②-2'!B21</f>
        <v>3-(2)-イ</v>
      </c>
      <c r="C124" s="481" t="str">
        <f>'随時②-2'!C21</f>
        <v>広報活動の充実</v>
      </c>
      <c r="D124" s="264">
        <v>201</v>
      </c>
      <c r="E124" s="316" t="str">
        <f>IF($R124=1,"",VLOOKUP($D124,'随時②-2'!$D$21:$L$35,2))</f>
        <v>消耗需用費</v>
      </c>
      <c r="F124" s="316" t="str">
        <f>IF($R124=1,"取消し",VLOOKUP($D124,'随時②-2'!$D$21:$L$35,3))</f>
        <v>学校紹介チラシ制作</v>
      </c>
      <c r="G124" s="225">
        <f>IF($R124=1,,VLOOKUP($D124,'随時②-2'!$D$21:$L$35,4))</f>
        <v>5.35</v>
      </c>
      <c r="H124" s="317">
        <f>IF($R124=1,,VLOOKUP($D124,'随時②-2'!$D$21:$L$35,5))</f>
        <v>2000</v>
      </c>
      <c r="I124" s="317">
        <f>IF($R124=1,,VLOOKUP($D124,'随時②-2'!$D$21:$L$35,6))</f>
        <v>1</v>
      </c>
      <c r="J124" s="318">
        <f>IF($R124=1,,VLOOKUP($D124,'随時②-2'!$D$21:$L$35,7))</f>
        <v>10700</v>
      </c>
      <c r="K124" s="340" t="str">
        <f t="shared" si="14"/>
        <v>学校紹介チラシ制作</v>
      </c>
      <c r="L124" s="490">
        <f t="shared" si="15"/>
        <v>5.35</v>
      </c>
      <c r="M124" s="309">
        <f t="shared" si="16"/>
        <v>2000</v>
      </c>
      <c r="N124" s="309">
        <f t="shared" si="17"/>
        <v>1</v>
      </c>
      <c r="O124" s="343">
        <f t="shared" si="11"/>
        <v>10700</v>
      </c>
      <c r="P124" s="344">
        <f>IF($R124=1,"",VLOOKUP($D124,'随時②-2'!$D$21:$L$35,8))</f>
        <v>0</v>
      </c>
      <c r="Q124" s="345" t="str">
        <f>IF($R124=1,"",VLOOKUP($D124,'随時②-2'!$D$21:$L$35,9))</f>
        <v>配当済み</v>
      </c>
      <c r="R124" s="25">
        <f>IF(ISNA(MATCH($D124,'随時②-2'!$D$4:$D$18,0)),0,1)</f>
        <v>0</v>
      </c>
      <c r="S124" s="63">
        <f t="shared" si="10"/>
      </c>
      <c r="T124" s="63">
        <f t="shared" si="12"/>
      </c>
      <c r="U124" s="5">
        <f t="shared" si="13"/>
        <v>7</v>
      </c>
    </row>
    <row r="125" spans="1:21" ht="13.5" customHeight="1">
      <c r="A125" s="313">
        <f>'随時②-2'!A22</f>
        <v>5</v>
      </c>
      <c r="B125" s="314" t="str">
        <f>'随時②-2'!B22</f>
        <v>2-(1)-ア</v>
      </c>
      <c r="C125" s="479" t="str">
        <f>'随時②-2'!C22</f>
        <v>教員のコミュニケーション能力向上</v>
      </c>
      <c r="D125" s="255">
        <v>202</v>
      </c>
      <c r="E125" s="315" t="str">
        <f>IF($R125=1,"",VLOOKUP($D125,'随時②-2'!$D$21:$L$35,2))</f>
        <v>消耗需用費</v>
      </c>
      <c r="F125" s="315" t="str">
        <f>IF($R125=1,"取消し",VLOOKUP($D125,'随時②-2'!$D$21:$L$35,3))</f>
        <v>府立外教2017年度　夏期研修資料代</v>
      </c>
      <c r="G125" s="322">
        <f>IF($R125=1,,VLOOKUP($D125,'随時②-2'!$D$21:$L$35,4))</f>
        <v>500</v>
      </c>
      <c r="H125" s="323">
        <f>IF($R125=1,,VLOOKUP($D125,'随時②-2'!$D$21:$L$35,5))</f>
        <v>1</v>
      </c>
      <c r="I125" s="323">
        <f>IF($R125=1,,VLOOKUP($D125,'随時②-2'!$D$21:$L$35,6))</f>
        <v>1</v>
      </c>
      <c r="J125" s="324">
        <f>IF($R125=1,,VLOOKUP($D125,'随時②-2'!$D$21:$L$35,7))</f>
        <v>500</v>
      </c>
      <c r="K125" s="319" t="str">
        <f t="shared" si="14"/>
        <v>府立外教2017年度　夏期研修資料代</v>
      </c>
      <c r="L125" s="320">
        <f t="shared" si="15"/>
        <v>500</v>
      </c>
      <c r="M125" s="342">
        <f t="shared" si="16"/>
        <v>1</v>
      </c>
      <c r="N125" s="342">
        <f t="shared" si="17"/>
        <v>1</v>
      </c>
      <c r="O125" s="310">
        <f t="shared" si="11"/>
        <v>500</v>
      </c>
      <c r="P125" s="311">
        <f>IF($R125=1,"",VLOOKUP($D125,'随時②-2'!$D$21:$L$35,8))</f>
        <v>0</v>
      </c>
      <c r="Q125" s="312" t="str">
        <f>IF($R125=1,"",VLOOKUP($D125,'随時②-2'!$D$21:$L$35,9))</f>
        <v>配当済み</v>
      </c>
      <c r="R125" s="25">
        <f>IF(ISNA(MATCH($D125,'随時②-2'!$D$4:$D$18,0)),0,1)</f>
        <v>0</v>
      </c>
      <c r="S125" s="63">
        <f t="shared" si="10"/>
      </c>
      <c r="T125" s="63">
        <f t="shared" si="12"/>
      </c>
      <c r="U125" s="5">
        <f t="shared" si="13"/>
        <v>7</v>
      </c>
    </row>
    <row r="126" spans="1:21" ht="13.5" customHeight="1">
      <c r="A126" s="313">
        <f>'随時②-2'!A23</f>
        <v>0</v>
      </c>
      <c r="B126" s="314">
        <f>'随時②-2'!B23</f>
        <v>0</v>
      </c>
      <c r="C126" s="479">
        <f>'随時②-2'!C23</f>
        <v>0</v>
      </c>
      <c r="D126" s="255">
        <v>203</v>
      </c>
      <c r="E126" s="315" t="str">
        <f>IF($R126=1,"",VLOOKUP($D126,'随時②-2'!$D$21:$L$35,2))</f>
        <v>消耗需用費</v>
      </c>
      <c r="F126" s="315" t="str">
        <f>IF($R126=1,"取消し",VLOOKUP($D126,'随時②-2'!$D$21:$L$35,3))</f>
        <v>第41回全国公立学校事務長会研究協議会並びに総会資料代</v>
      </c>
      <c r="G126" s="322">
        <f>IF($R126=1,,VLOOKUP($D126,'随時②-2'!$D$21:$L$35,4))</f>
        <v>3000</v>
      </c>
      <c r="H126" s="323">
        <f>IF($R126=1,,VLOOKUP($D126,'随時②-2'!$D$21:$L$35,5))</f>
        <v>1</v>
      </c>
      <c r="I126" s="323">
        <f>IF($R126=1,,VLOOKUP($D126,'随時②-2'!$D$21:$L$35,6))</f>
        <v>1</v>
      </c>
      <c r="J126" s="324">
        <f>IF($R126=1,,VLOOKUP($D126,'随時②-2'!$D$21:$L$35,7))</f>
        <v>3000</v>
      </c>
      <c r="K126" s="319" t="str">
        <f t="shared" si="14"/>
        <v>第41回全国公立学校事務長会研究協議会並びに総会資料代</v>
      </c>
      <c r="L126" s="320">
        <f t="shared" si="15"/>
        <v>3000</v>
      </c>
      <c r="M126" s="321">
        <f t="shared" si="16"/>
        <v>1</v>
      </c>
      <c r="N126" s="342">
        <f t="shared" si="17"/>
        <v>1</v>
      </c>
      <c r="O126" s="310">
        <f t="shared" si="11"/>
        <v>3000</v>
      </c>
      <c r="P126" s="311">
        <f>IF($R126=1,"",VLOOKUP($D126,'随時②-2'!$D$21:$L$35,8))</f>
        <v>0</v>
      </c>
      <c r="Q126" s="312" t="str">
        <f>IF($R126=1,"",VLOOKUP($D126,'随時②-2'!$D$21:$L$35,9))</f>
        <v>配当済み</v>
      </c>
      <c r="R126" s="25">
        <f>IF(ISNA(MATCH($D126,'随時②-2'!$D$4:$D$18,0)),0,1)</f>
        <v>0</v>
      </c>
      <c r="S126" s="63">
        <f t="shared" si="10"/>
      </c>
      <c r="T126" s="63">
        <f t="shared" si="12"/>
      </c>
      <c r="U126" s="5">
        <f t="shared" si="13"/>
        <v>7</v>
      </c>
    </row>
    <row r="127" spans="1:21" ht="13.5" customHeight="1">
      <c r="A127" s="313">
        <f>'随時②-2'!A24</f>
        <v>0</v>
      </c>
      <c r="B127" s="314">
        <f>'随時②-2'!B24</f>
        <v>0</v>
      </c>
      <c r="C127" s="479">
        <f>'随時②-2'!C24</f>
        <v>0</v>
      </c>
      <c r="D127" s="255">
        <v>204</v>
      </c>
      <c r="E127" s="315" t="str">
        <f>IF($R127=1,"",VLOOKUP($D127,'随時②-2'!$D$21:$L$35,2))</f>
        <v>負担金、補助及び交付金</v>
      </c>
      <c r="F127" s="315" t="str">
        <f>IF($R127=1,"取消し",VLOOKUP($D127,'随時②-2'!$D$21:$L$35,3))</f>
        <v>第41回全国公立学校事務長会研究協議会並びに総会参加費</v>
      </c>
      <c r="G127" s="322">
        <f>IF($R127=1,,VLOOKUP($D127,'随時②-2'!$D$21:$L$35,4))</f>
        <v>2000</v>
      </c>
      <c r="H127" s="323">
        <f>IF($R127=1,,VLOOKUP($D127,'随時②-2'!$D$21:$L$35,5))</f>
        <v>1</v>
      </c>
      <c r="I127" s="323">
        <f>IF($R127=1,,VLOOKUP($D127,'随時②-2'!$D$21:$L$35,6))</f>
        <v>1</v>
      </c>
      <c r="J127" s="324">
        <f>IF($R127=1,,VLOOKUP($D127,'随時②-2'!$D$21:$L$35,7))</f>
        <v>2000</v>
      </c>
      <c r="K127" s="319" t="str">
        <f t="shared" si="14"/>
        <v>第41回全国公立学校事務長会研究協議会並びに総会参加費</v>
      </c>
      <c r="L127" s="320">
        <f t="shared" si="15"/>
        <v>2000</v>
      </c>
      <c r="M127" s="321">
        <f t="shared" si="16"/>
        <v>1</v>
      </c>
      <c r="N127" s="321">
        <f t="shared" si="17"/>
        <v>1</v>
      </c>
      <c r="O127" s="310">
        <f t="shared" si="11"/>
        <v>2000</v>
      </c>
      <c r="P127" s="311">
        <f>IF($R127=1,"",VLOOKUP($D127,'随時②-2'!$D$21:$L$35,8))</f>
        <v>0</v>
      </c>
      <c r="Q127" s="312" t="str">
        <f>IF($R127=1,"",VLOOKUP($D127,'随時②-2'!$D$21:$L$35,9))</f>
        <v>配当済み</v>
      </c>
      <c r="R127" s="25">
        <f>IF(ISNA(MATCH($D127,'随時②-2'!$D$4:$D$18,0)),0,1)</f>
        <v>0</v>
      </c>
      <c r="S127" s="63">
        <f t="shared" si="10"/>
      </c>
      <c r="T127" s="63">
        <f t="shared" si="12"/>
      </c>
      <c r="U127" s="5">
        <f t="shared" si="13"/>
        <v>9</v>
      </c>
    </row>
    <row r="128" spans="1:21" ht="13.5" customHeight="1">
      <c r="A128" s="313">
        <f>'随時②-2'!A25</f>
        <v>9</v>
      </c>
      <c r="B128" s="314" t="str">
        <f>'随時②-2'!B25</f>
        <v>3-(2)-イ</v>
      </c>
      <c r="C128" s="479" t="str">
        <f>'随時②-2'!C25</f>
        <v>広報活動の充実</v>
      </c>
      <c r="D128" s="255">
        <v>205</v>
      </c>
      <c r="E128" s="315" t="str">
        <f>IF($R128=1,"",VLOOKUP($D128,'随時②-2'!$D$21:$L$35,2))</f>
        <v>役務費</v>
      </c>
      <c r="F128" s="315" t="str">
        <f>IF($R128=1,"取消し",VLOOKUP($D128,'随時②-2'!$D$21:$L$35,3))</f>
        <v>高校進学説明会資料（学校案内）送料</v>
      </c>
      <c r="G128" s="322">
        <f>IF($R128=1,,VLOOKUP($D128,'随時②-2'!$D$21:$L$35,4))</f>
        <v>972</v>
      </c>
      <c r="H128" s="323">
        <f>IF($R128=1,,VLOOKUP($D128,'随時②-2'!$D$21:$L$35,5))</f>
        <v>1</v>
      </c>
      <c r="I128" s="323">
        <f>IF($R128=1,,VLOOKUP($D128,'随時②-2'!$D$21:$L$35,6))</f>
        <v>1</v>
      </c>
      <c r="J128" s="324">
        <f>IF($R128=1,,VLOOKUP($D128,'随時②-2'!$D$21:$L$35,7))</f>
        <v>972</v>
      </c>
      <c r="K128" s="319" t="str">
        <f t="shared" si="14"/>
        <v>高校進学説明会資料（学校案内）送料</v>
      </c>
      <c r="L128" s="320">
        <f t="shared" si="15"/>
        <v>972</v>
      </c>
      <c r="M128" s="321">
        <f t="shared" si="16"/>
        <v>1</v>
      </c>
      <c r="N128" s="321">
        <f t="shared" si="17"/>
        <v>1</v>
      </c>
      <c r="O128" s="310">
        <f t="shared" si="11"/>
        <v>972</v>
      </c>
      <c r="P128" s="311">
        <f>IF($R128=1,"",VLOOKUP($D128,'随時②-2'!$D$21:$L$35,8))</f>
        <v>0</v>
      </c>
      <c r="Q128" s="312" t="str">
        <f>IF($R128=1,"",VLOOKUP($D128,'随時②-2'!$D$21:$L$35,9))</f>
        <v>配当済み</v>
      </c>
      <c r="R128" s="25">
        <f>IF(ISNA(MATCH($D128,'随時②-2'!$D$4:$D$18,0)),0,1)</f>
        <v>0</v>
      </c>
      <c r="S128" s="63">
        <f>IF(P128="◎",J128,"")</f>
      </c>
      <c r="T128" s="63">
        <f>IF(P128="◎",O128,"")</f>
      </c>
      <c r="U128" s="5">
        <f t="shared" si="13"/>
        <v>5</v>
      </c>
    </row>
    <row r="129" spans="1:21" ht="13.5" customHeight="1">
      <c r="A129" s="313">
        <f>'随時②-2'!A26</f>
        <v>9</v>
      </c>
      <c r="B129" s="314" t="str">
        <f>'随時②-2'!B26</f>
        <v>3-(2)-イ</v>
      </c>
      <c r="C129" s="479" t="str">
        <f>'随時②-2'!C26</f>
        <v>広報活動の充実</v>
      </c>
      <c r="D129" s="255">
        <v>206</v>
      </c>
      <c r="E129" s="315" t="str">
        <f>IF($R129=1,"",VLOOKUP($D129,'随時②-2'!$D$21:$L$35,2))</f>
        <v>消耗需用費</v>
      </c>
      <c r="F129" s="315" t="str">
        <f>IF($R129=1,"取消し",VLOOKUP($D129,'随時②-2'!$D$21:$L$35,3))</f>
        <v>広報活動用モバイルタブレットPC付属品</v>
      </c>
      <c r="G129" s="322">
        <f>IF($R129=1,,VLOOKUP($D129,'随時②-2'!$D$21:$L$35,4))</f>
        <v>4514</v>
      </c>
      <c r="H129" s="323">
        <f>IF($R129=1,,VLOOKUP($D129,'随時②-2'!$D$21:$L$35,5))</f>
        <v>1</v>
      </c>
      <c r="I129" s="323">
        <f>IF($R129=1,,VLOOKUP($D129,'随時②-2'!$D$21:$L$35,6))</f>
        <v>1</v>
      </c>
      <c r="J129" s="324">
        <f>IF($R129=1,,VLOOKUP($D129,'随時②-2'!$D$21:$L$35,7))</f>
        <v>4514</v>
      </c>
      <c r="K129" s="319" t="str">
        <f t="shared" si="14"/>
        <v>広報活動用モバイルタブレットPC付属品</v>
      </c>
      <c r="L129" s="320">
        <f t="shared" si="15"/>
        <v>4514</v>
      </c>
      <c r="M129" s="321">
        <f t="shared" si="16"/>
        <v>1</v>
      </c>
      <c r="N129" s="321">
        <f t="shared" si="17"/>
        <v>1</v>
      </c>
      <c r="O129" s="310">
        <f t="shared" si="11"/>
        <v>4514</v>
      </c>
      <c r="P129" s="311">
        <f>IF($R129=1,"",VLOOKUP($D129,'随時②-2'!$D$21:$L$35,8))</f>
        <v>0</v>
      </c>
      <c r="Q129" s="312" t="str">
        <f>IF($R129=1,"",VLOOKUP($D129,'随時②-2'!$D$21:$L$35,9))</f>
        <v>配当済み</v>
      </c>
      <c r="R129" s="25">
        <f>IF(ISNA(MATCH($D129,'随時②-2'!$D$4:$D$18,0)),0,1)</f>
        <v>0</v>
      </c>
      <c r="S129" s="63">
        <f aca="true" t="shared" si="18" ref="S129:S138">IF(P129="◎",J129,"")</f>
      </c>
      <c r="T129" s="63">
        <f aca="true" t="shared" si="19" ref="T129:T138">IF(P129="◎",O129,"")</f>
      </c>
      <c r="U129" s="5">
        <f t="shared" si="13"/>
        <v>7</v>
      </c>
    </row>
    <row r="130" spans="1:21" ht="13.5" customHeight="1">
      <c r="A130" s="313">
        <f>'随時②-2'!A27</f>
        <v>0</v>
      </c>
      <c r="B130" s="314">
        <f>'随時②-2'!B27</f>
        <v>0</v>
      </c>
      <c r="C130" s="479">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79">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79">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79">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79">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79">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79">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79">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79">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603" t="s">
        <v>177</v>
      </c>
      <c r="I141" s="604"/>
      <c r="J141" s="38" t="s">
        <v>113</v>
      </c>
      <c r="K141" s="38" t="s">
        <v>174</v>
      </c>
      <c r="L141" s="527" t="s">
        <v>175</v>
      </c>
      <c r="M141" s="605"/>
      <c r="N141" s="606" t="s">
        <v>176</v>
      </c>
      <c r="O141" s="607"/>
      <c r="P141" s="594" t="s">
        <v>114</v>
      </c>
      <c r="Q141" s="595"/>
    </row>
    <row r="142" spans="6:17" ht="14.25" thickTop="1">
      <c r="F142" s="347" t="s">
        <v>85</v>
      </c>
      <c r="G142" s="348">
        <f>SUMIF($E$4:$E$138,$F142,$J$4:$J$138)</f>
        <v>179000</v>
      </c>
      <c r="H142" s="608">
        <f>SUMIF($E$4:$E$138,$F142,$S$4:$S$138)</f>
        <v>0</v>
      </c>
      <c r="I142" s="609"/>
      <c r="J142" s="349">
        <f>G142-H142</f>
        <v>179000</v>
      </c>
      <c r="K142" s="348">
        <f>SUMIF($E$4:$E$138,$F142,$O$4:$O$138)</f>
        <v>177000</v>
      </c>
      <c r="L142" s="608">
        <f>SUMIF($E$4:$E$138,$F142,$T$4:$T$138)</f>
        <v>0</v>
      </c>
      <c r="M142" s="610"/>
      <c r="N142" s="611">
        <f>K142-L142</f>
        <v>177000</v>
      </c>
      <c r="O142" s="612"/>
      <c r="P142" s="554">
        <f>J142-N142</f>
        <v>2000</v>
      </c>
      <c r="Q142" s="596"/>
    </row>
    <row r="143" spans="6:17" ht="13.5">
      <c r="F143" s="347" t="s">
        <v>86</v>
      </c>
      <c r="G143" s="350">
        <f aca="true" t="shared" si="22" ref="G143:G150">SUMIF($E$4:$E$138,$F143,$J$4:$J$138)</f>
        <v>90000</v>
      </c>
      <c r="H143" s="545">
        <f>SUMIF($E$4:$E$138,$F143,$S$4:$S$138)</f>
        <v>0</v>
      </c>
      <c r="I143" s="601"/>
      <c r="J143" s="351">
        <f>G143-H143</f>
        <v>90000</v>
      </c>
      <c r="K143" s="348">
        <f aca="true" t="shared" si="23" ref="K143:K150">SUMIF($E$4:$E$138,$F143,$O$4:$O$138)</f>
        <v>86140</v>
      </c>
      <c r="L143" s="544">
        <f aca="true" t="shared" si="24" ref="L143:L149">SUMIF($E$4:$E$138,$F143,$T$4:$T$138)</f>
        <v>0</v>
      </c>
      <c r="M143" s="547"/>
      <c r="N143" s="602">
        <f>K143-L143</f>
        <v>86140</v>
      </c>
      <c r="O143" s="601"/>
      <c r="P143" s="544">
        <f aca="true" t="shared" si="25" ref="P143:P150">J143-N143</f>
        <v>3860</v>
      </c>
      <c r="Q143" s="547"/>
    </row>
    <row r="144" spans="6:17" ht="13.5">
      <c r="F144" s="347" t="s">
        <v>125</v>
      </c>
      <c r="G144" s="348">
        <f t="shared" si="22"/>
        <v>75714</v>
      </c>
      <c r="H144" s="545">
        <f aca="true" t="shared" si="26" ref="H144:H149">SUMIF($E$4:$E$138,$F144,$S$4:$S$138)</f>
        <v>0</v>
      </c>
      <c r="I144" s="601"/>
      <c r="J144" s="351">
        <f aca="true" t="shared" si="27" ref="J144:J150">G144-H144</f>
        <v>75714</v>
      </c>
      <c r="K144" s="348">
        <f t="shared" si="23"/>
        <v>51722</v>
      </c>
      <c r="L144" s="544">
        <f t="shared" si="24"/>
        <v>0</v>
      </c>
      <c r="M144" s="547"/>
      <c r="N144" s="602">
        <f aca="true" t="shared" si="28" ref="N144:N150">K144-L144</f>
        <v>51722</v>
      </c>
      <c r="O144" s="601"/>
      <c r="P144" s="544">
        <f t="shared" si="25"/>
        <v>23992</v>
      </c>
      <c r="Q144" s="547"/>
    </row>
    <row r="145" spans="6:17" ht="13.5">
      <c r="F145" s="347" t="s">
        <v>126</v>
      </c>
      <c r="G145" s="348">
        <f t="shared" si="22"/>
        <v>0</v>
      </c>
      <c r="H145" s="545">
        <f t="shared" si="26"/>
        <v>0</v>
      </c>
      <c r="I145" s="601"/>
      <c r="J145" s="351">
        <f t="shared" si="27"/>
        <v>0</v>
      </c>
      <c r="K145" s="348">
        <f t="shared" si="23"/>
        <v>0</v>
      </c>
      <c r="L145" s="544">
        <f t="shared" si="24"/>
        <v>0</v>
      </c>
      <c r="M145" s="547"/>
      <c r="N145" s="602">
        <f t="shared" si="28"/>
        <v>0</v>
      </c>
      <c r="O145" s="601"/>
      <c r="P145" s="544">
        <f t="shared" si="25"/>
        <v>0</v>
      </c>
      <c r="Q145" s="547"/>
    </row>
    <row r="146" spans="6:17" ht="13.5">
      <c r="F146" s="347" t="s">
        <v>87</v>
      </c>
      <c r="G146" s="348">
        <f t="shared" si="22"/>
        <v>23972</v>
      </c>
      <c r="H146" s="545">
        <f t="shared" si="26"/>
        <v>0</v>
      </c>
      <c r="I146" s="601"/>
      <c r="J146" s="351">
        <f t="shared" si="27"/>
        <v>23972</v>
      </c>
      <c r="K146" s="348">
        <f t="shared" si="23"/>
        <v>20846</v>
      </c>
      <c r="L146" s="544">
        <f t="shared" si="24"/>
        <v>0</v>
      </c>
      <c r="M146" s="547"/>
      <c r="N146" s="602">
        <f t="shared" si="28"/>
        <v>20846</v>
      </c>
      <c r="O146" s="601"/>
      <c r="P146" s="544">
        <f t="shared" si="25"/>
        <v>3126</v>
      </c>
      <c r="Q146" s="547"/>
    </row>
    <row r="147" spans="6:17" ht="13.5">
      <c r="F147" s="347" t="s">
        <v>88</v>
      </c>
      <c r="G147" s="348">
        <f t="shared" si="22"/>
        <v>0</v>
      </c>
      <c r="H147" s="545">
        <f t="shared" si="26"/>
        <v>0</v>
      </c>
      <c r="I147" s="601"/>
      <c r="J147" s="351">
        <f t="shared" si="27"/>
        <v>0</v>
      </c>
      <c r="K147" s="348">
        <f t="shared" si="23"/>
        <v>0</v>
      </c>
      <c r="L147" s="544">
        <f t="shared" si="24"/>
        <v>0</v>
      </c>
      <c r="M147" s="547"/>
      <c r="N147" s="602">
        <f t="shared" si="28"/>
        <v>0</v>
      </c>
      <c r="O147" s="601"/>
      <c r="P147" s="544">
        <f t="shared" si="25"/>
        <v>0</v>
      </c>
      <c r="Q147" s="547"/>
    </row>
    <row r="148" spans="6:17" ht="13.5">
      <c r="F148" s="347" t="s">
        <v>89</v>
      </c>
      <c r="G148" s="348">
        <f t="shared" si="22"/>
        <v>0</v>
      </c>
      <c r="H148" s="545">
        <f t="shared" si="26"/>
        <v>0</v>
      </c>
      <c r="I148" s="601"/>
      <c r="J148" s="351">
        <f t="shared" si="27"/>
        <v>0</v>
      </c>
      <c r="K148" s="348">
        <f t="shared" si="23"/>
        <v>0</v>
      </c>
      <c r="L148" s="544">
        <f t="shared" si="24"/>
        <v>0</v>
      </c>
      <c r="M148" s="547"/>
      <c r="N148" s="602">
        <f t="shared" si="28"/>
        <v>0</v>
      </c>
      <c r="O148" s="601"/>
      <c r="P148" s="544">
        <f t="shared" si="25"/>
        <v>0</v>
      </c>
      <c r="Q148" s="547"/>
    </row>
    <row r="149" spans="6:17" ht="13.5">
      <c r="F149" s="347" t="s">
        <v>90</v>
      </c>
      <c r="G149" s="348">
        <f t="shared" si="22"/>
        <v>150000</v>
      </c>
      <c r="H149" s="545">
        <f t="shared" si="26"/>
        <v>0</v>
      </c>
      <c r="I149" s="601"/>
      <c r="J149" s="351">
        <f t="shared" si="27"/>
        <v>150000</v>
      </c>
      <c r="K149" s="348">
        <f t="shared" si="23"/>
        <v>140292</v>
      </c>
      <c r="L149" s="544">
        <f t="shared" si="24"/>
        <v>0</v>
      </c>
      <c r="M149" s="547"/>
      <c r="N149" s="602">
        <f t="shared" si="28"/>
        <v>140292</v>
      </c>
      <c r="O149" s="601"/>
      <c r="P149" s="544">
        <f t="shared" si="25"/>
        <v>9708</v>
      </c>
      <c r="Q149" s="547"/>
    </row>
    <row r="150" spans="6:17" ht="14.25" thickBot="1">
      <c r="F150" s="347" t="s">
        <v>137</v>
      </c>
      <c r="G150" s="348">
        <f t="shared" si="22"/>
        <v>61430</v>
      </c>
      <c r="H150" s="545">
        <f>SUMIF($E$4:$E$138,$F150,$S$4:$S$138)+'2-3'!G122</f>
        <v>11000</v>
      </c>
      <c r="I150" s="601"/>
      <c r="J150" s="351">
        <f t="shared" si="27"/>
        <v>50430</v>
      </c>
      <c r="K150" s="348">
        <f t="shared" si="23"/>
        <v>61430</v>
      </c>
      <c r="L150" s="590">
        <f>SUMIF($E$4:$E$138,$F150,$T$4:$T$138)+'2-3'!E122</f>
        <v>11000</v>
      </c>
      <c r="M150" s="591"/>
      <c r="N150" s="602">
        <f t="shared" si="28"/>
        <v>50430</v>
      </c>
      <c r="O150" s="601"/>
      <c r="P150" s="590">
        <f t="shared" si="25"/>
        <v>0</v>
      </c>
      <c r="Q150" s="591"/>
    </row>
    <row r="151" spans="6:17" ht="15" thickBot="1" thickTop="1">
      <c r="F151" s="354" t="s">
        <v>15</v>
      </c>
      <c r="G151" s="355">
        <f>SUM(G142:G150)</f>
        <v>580116</v>
      </c>
      <c r="H151" s="551">
        <f>SUM(H142:I150)</f>
        <v>11000</v>
      </c>
      <c r="I151" s="599"/>
      <c r="J151" s="355">
        <f>SUM(J142:J150)</f>
        <v>569116</v>
      </c>
      <c r="K151" s="355">
        <f>SUM(K142:K150)</f>
        <v>537430</v>
      </c>
      <c r="L151" s="592">
        <f>SUM(L142:M150)</f>
        <v>11000</v>
      </c>
      <c r="M151" s="593"/>
      <c r="N151" s="599">
        <f>SUM(N142:O150)</f>
        <v>526430</v>
      </c>
      <c r="O151" s="600"/>
      <c r="P151" s="592">
        <f>SUM(P142:Q150)</f>
        <v>42686</v>
      </c>
      <c r="Q151" s="593"/>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E25" sqref="E2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7" t="s">
        <v>260</v>
      </c>
      <c r="B1" s="617"/>
      <c r="C1" s="617"/>
      <c r="D1" s="617"/>
      <c r="E1" s="617"/>
      <c r="F1" s="617"/>
      <c r="G1" s="618"/>
      <c r="H1" s="618"/>
      <c r="I1" s="618"/>
    </row>
    <row r="2" spans="1:9" ht="15" customHeight="1" thickBot="1">
      <c r="A2" s="8"/>
      <c r="B2" s="7" t="s">
        <v>243</v>
      </c>
      <c r="C2" s="87"/>
      <c r="E2" s="116"/>
      <c r="F2" s="117" t="s">
        <v>112</v>
      </c>
      <c r="G2" s="209">
        <f>SUM(E5:E119)</f>
        <v>57430</v>
      </c>
      <c r="H2" s="72" t="s">
        <v>187</v>
      </c>
      <c r="I2" s="209">
        <f>SUM(H5:H119)</f>
        <v>0</v>
      </c>
    </row>
    <row r="3" spans="1:9" ht="15" customHeight="1" thickBot="1">
      <c r="A3" s="8"/>
      <c r="B3" s="7"/>
      <c r="C3" s="87"/>
      <c r="E3" s="613" t="s">
        <v>180</v>
      </c>
      <c r="F3" s="614"/>
      <c r="G3" s="615"/>
      <c r="H3" s="613" t="s">
        <v>181</v>
      </c>
      <c r="I3" s="616"/>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9000</v>
      </c>
      <c r="F25" s="200">
        <f>IF('1-3'!E24="","",'1-3'!E24)</f>
        <v>9000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v>3000</v>
      </c>
      <c r="F87" s="196">
        <f>IF('1-3'!E86="","",'1-3'!E86)</f>
        <v>3000</v>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3000</v>
      </c>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174</v>
      </c>
      <c r="E121" s="217">
        <f>SUM(E5:E119)</f>
        <v>57430</v>
      </c>
      <c r="F121" s="118" t="s">
        <v>185</v>
      </c>
      <c r="G121" s="182">
        <f>SUM(F5:F119)</f>
        <v>57430</v>
      </c>
      <c r="H121" s="121" t="s">
        <v>189</v>
      </c>
      <c r="I121" s="182">
        <f>I2</f>
        <v>0</v>
      </c>
    </row>
    <row r="122" spans="4:9" ht="15" customHeight="1">
      <c r="D122" s="87" t="s">
        <v>175</v>
      </c>
      <c r="E122" s="218">
        <f>SUMIF($G$5:$G$119,"◎",$E$5:$E$119)</f>
        <v>11000</v>
      </c>
      <c r="F122" s="119" t="s">
        <v>175</v>
      </c>
      <c r="G122" s="183">
        <f>'1-3'!F121</f>
        <v>11000</v>
      </c>
      <c r="H122" s="122" t="s">
        <v>175</v>
      </c>
      <c r="I122" s="183">
        <f>SUMIF($I$5:$I$119,"◎",$H$5:$H$119)</f>
        <v>0</v>
      </c>
    </row>
    <row r="123" spans="4:9" ht="15" customHeight="1" thickBot="1">
      <c r="D123" s="87" t="s">
        <v>217</v>
      </c>
      <c r="E123" s="219">
        <f>E121-E122</f>
        <v>46430</v>
      </c>
      <c r="F123" s="120" t="s">
        <v>186</v>
      </c>
      <c r="G123" s="184">
        <f>G121-G122</f>
        <v>46430</v>
      </c>
      <c r="H123" s="44" t="s">
        <v>188</v>
      </c>
      <c r="I123" s="184">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2018-03-28T06:05:01Z</cp:lastPrinted>
  <dcterms:created xsi:type="dcterms:W3CDTF">2007-02-21T01:05:33Z</dcterms:created>
  <dcterms:modified xsi:type="dcterms:W3CDTF">2018-05-29T10:07:51Z</dcterms:modified>
  <cp:category/>
  <cp:version/>
  <cp:contentType/>
  <cp:contentStatus/>
</cp:coreProperties>
</file>