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tabRatio="447" activeTab="0"/>
  </bookViews>
  <sheets>
    <sheet name="前提条件" sheetId="1" r:id="rId1"/>
    <sheet name="金利計算" sheetId="2" r:id="rId2"/>
    <sheet name="金利計算 (記入例)" sheetId="3" r:id="rId3"/>
  </sheets>
  <definedNames>
    <definedName name="_xlnm.Print_Area" localSheetId="1">'金利計算'!$A$1:$J$48</definedName>
    <definedName name="_xlnm.Print_Area" localSheetId="2">'金利計算 (記入例)'!$A$1:$J$50</definedName>
    <definedName name="_xlnm.Print_Area" localSheetId="0">'前提条件'!$A$1:$G$45</definedName>
  </definedNames>
  <calcPr fullCalcOnLoad="1"/>
</workbook>
</file>

<file path=xl/sharedStrings.xml><?xml version="1.0" encoding="utf-8"?>
<sst xmlns="http://schemas.openxmlformats.org/spreadsheetml/2006/main" count="221" uniqueCount="132">
  <si>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</si>
  <si>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</si>
  <si>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</si>
  <si>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</si>
  <si>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仮移転</t>
  </si>
  <si>
    <t>仮移転料</t>
  </si>
  <si>
    <t>仲介手数料</t>
  </si>
  <si>
    <t>賃貸借契約</t>
  </si>
  <si>
    <t>府負担家賃</t>
  </si>
  <si>
    <t>本移転</t>
  </si>
  <si>
    <t>（仮移転戸数）</t>
  </si>
  <si>
    <t>（仮移転者負担家賃）</t>
  </si>
  <si>
    <t>（仲介手数料）</t>
  </si>
  <si>
    <t>（敷き引き）</t>
  </si>
  <si>
    <t>ヶ月</t>
  </si>
  <si>
    <t>（入居者移転支援に係る資金の調達金利）</t>
  </si>
  <si>
    <t>保証金（敷き引き分）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</si>
  <si>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</si>
  <si>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</si>
  <si>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</si>
  <si>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</si>
  <si>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</si>
  <si>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</si>
  <si>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</si>
  <si>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</si>
  <si>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</si>
  <si>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入居者移転支援実費に関する考え方</t>
  </si>
  <si>
    <t>対象月数</t>
  </si>
  <si>
    <t>事業者の工期提案による</t>
  </si>
  <si>
    <t>黄色の網がけは入力部</t>
  </si>
  <si>
    <t>資本金</t>
  </si>
  <si>
    <t>借入金</t>
  </si>
  <si>
    <t>（各年度の借入金総額）×金利（％）×対象月数／１２</t>
  </si>
  <si>
    <t>入居者移転支援に係る実費の調達金利</t>
  </si>
  <si>
    <t>部分払対象金利</t>
  </si>
  <si>
    <t>H23</t>
  </si>
  <si>
    <t>H24</t>
  </si>
  <si>
    <t>府負担家賃(民間借家)</t>
  </si>
  <si>
    <t>第一工区本移転料</t>
  </si>
  <si>
    <t>第二工区本移転料</t>
  </si>
  <si>
    <t>Ａ×Ｎ</t>
  </si>
  <si>
    <t>Ｂ×Ｎ</t>
  </si>
  <si>
    <t>Ｃ×Ｎ</t>
  </si>
  <si>
    <t>Ａ＝</t>
  </si>
  <si>
    <t>戸</t>
  </si>
  <si>
    <t>Ｂ＝</t>
  </si>
  <si>
    <t>（第一工区本移転戸数）</t>
  </si>
  <si>
    <t>C＝　　　　　　　　　　　</t>
  </si>
  <si>
    <t>（第二工区本移転戸数）</t>
  </si>
  <si>
    <t>D＝</t>
  </si>
  <si>
    <t>円</t>
  </si>
  <si>
    <t>（民間借家家賃の上限）</t>
  </si>
  <si>
    <t>E＝</t>
  </si>
  <si>
    <t>（民間借家府負担家賃）</t>
  </si>
  <si>
    <t>（民間借家戸数）</t>
  </si>
  <si>
    <t>Ｊ＝</t>
  </si>
  <si>
    <t>Ｎ＝</t>
  </si>
  <si>
    <t>Ｏ＝</t>
  </si>
  <si>
    <t>Ｐ＝</t>
  </si>
  <si>
    <t>■第一工区本移転終了まで</t>
  </si>
  <si>
    <t>■第二工区本移転終了まで</t>
  </si>
  <si>
    <t>第一工区本移転料</t>
  </si>
  <si>
    <t>資金調達</t>
  </si>
  <si>
    <t>仮移転期間</t>
  </si>
  <si>
    <t>実費分計－資本金</t>
  </si>
  <si>
    <t>第二工区本移転料</t>
  </si>
  <si>
    <t>金利計算対象額</t>
  </si>
  <si>
    <t>入居者移転支援に係る実費の調達金利</t>
  </si>
  <si>
    <t>項　目　　　　年　度</t>
  </si>
  <si>
    <t>資金需要</t>
  </si>
  <si>
    <t>（各年度の借入金総額）×金利（％）×対象月数／１２</t>
  </si>
  <si>
    <t>項　目　　　　年　度</t>
  </si>
  <si>
    <t>資金需要</t>
  </si>
  <si>
    <t>支払い対象金利</t>
  </si>
  <si>
    <t>精算期間</t>
  </si>
  <si>
    <r>
      <t>第一工区本移転完了から実際の支払いまでの期間として、第一工区本移転終了後、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</t>
    </r>
  </si>
  <si>
    <r>
      <t>本移転期間（</t>
    </r>
    <r>
      <rPr>
        <sz val="10"/>
        <color indexed="10"/>
        <rFont val="ＭＳ Ｐゴシック"/>
        <family val="3"/>
      </rPr>
      <t>2ヶ月</t>
    </r>
    <r>
      <rPr>
        <sz val="10"/>
        <rFont val="ＭＳ Ｐゴシック"/>
        <family val="3"/>
      </rPr>
      <t>）+精算期間(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）とし、合計</t>
    </r>
    <r>
      <rPr>
        <sz val="10"/>
        <color indexed="10"/>
        <rFont val="ＭＳ Ｐゴシック"/>
        <family val="3"/>
      </rPr>
      <t>5ヶ月</t>
    </r>
    <r>
      <rPr>
        <sz val="10"/>
        <rFont val="ＭＳ Ｐゴシック"/>
        <family val="3"/>
      </rPr>
      <t>となるように記入する。</t>
    </r>
  </si>
  <si>
    <t>自己資本等による調達額を記入（金利計算対象としない額）</t>
  </si>
  <si>
    <t>第一工区　調達金利</t>
  </si>
  <si>
    <t>第二工区　調達金利</t>
  </si>
  <si>
    <t>（各年度の借入金総額）×金利（％）×対象月数／１２</t>
  </si>
  <si>
    <t>項　目　　　　年　度</t>
  </si>
  <si>
    <t>資金需要</t>
  </si>
  <si>
    <t>項　目　　　　年　度</t>
  </si>
  <si>
    <t>保証金</t>
  </si>
  <si>
    <t>金利計算対象入居者移転支援実費分(消費税抜き）</t>
  </si>
  <si>
    <t>（仮移転料又は本移転料）</t>
  </si>
  <si>
    <t>Ｆ＝D－E＝</t>
  </si>
  <si>
    <t>Ｈ＝</t>
  </si>
  <si>
    <t>Ｉ＝D×0.525＝</t>
  </si>
  <si>
    <t>Ｆ×Ｈ×Ｏ</t>
  </si>
  <si>
    <t>Ｈ×Ｊ</t>
  </si>
  <si>
    <t>うち精算期間</t>
  </si>
  <si>
    <t>Ｉ×Ｈ</t>
  </si>
  <si>
    <t>K=</t>
  </si>
  <si>
    <t>円</t>
  </si>
  <si>
    <t>（保証金）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</si>
  <si>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</si>
  <si>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</si>
  <si>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t>振込み手数料</t>
  </si>
  <si>
    <t>Ａ×420</t>
  </si>
  <si>
    <t>府負担家賃（民間借家）振込み手数料</t>
  </si>
  <si>
    <t>Ｈ×420×Ｏ</t>
  </si>
  <si>
    <t xml:space="preserve">府負担家賃(公社)
振込み手数料
</t>
  </si>
  <si>
    <t>保証金振込み手数料</t>
  </si>
  <si>
    <t>Ｈ×420</t>
  </si>
  <si>
    <t>Ｂ×420</t>
  </si>
  <si>
    <t>Ｃ×420</t>
  </si>
  <si>
    <t>仮移転料振込み手数料</t>
  </si>
  <si>
    <t>本移転料振込み手数料</t>
  </si>
  <si>
    <t xml:space="preserve">仮移転者の家賃(公社)
振替手数料
</t>
  </si>
  <si>
    <t>保証金・敷金振込み手数料</t>
  </si>
  <si>
    <t>家賃振込み等手数料</t>
  </si>
  <si>
    <t>420×Ｏ</t>
  </si>
  <si>
    <t>仲介手数料（民間借家）振込み手数料</t>
  </si>
  <si>
    <t>Ｈ×420</t>
  </si>
  <si>
    <t>仲介手数料振込み手数料</t>
  </si>
  <si>
    <t>32×420×Ｏ</t>
  </si>
  <si>
    <t xml:space="preserve">H21 </t>
  </si>
  <si>
    <t>H22</t>
  </si>
  <si>
    <t>H25</t>
  </si>
  <si>
    <t>H26</t>
  </si>
  <si>
    <t>（平成21年●月1日から第一工区建替住宅の所有権移転日までの月数+本移転期間2ヶ月+精算期間3ヶ月を入力）</t>
  </si>
  <si>
    <t>・H22は、前年度借入金、前年度借入金利を含む。
・保証金は調達は行なうが、敷き引き分以外は返還されるものであることから、年度払いの精算対象とはならない。よって、H23,H24については(保証金）の額については、金利計算対象額に計上している。</t>
  </si>
  <si>
    <t>第一工区本移転年度がH24以外となる場合は、年度を変更し記入を行なう。</t>
  </si>
  <si>
    <t>第二工区本移転年度がH26以外となる場合は、年度を変更し記入を行なう。</t>
  </si>
  <si>
    <t>第二工区本移転年度がH26以外となる場合は、年度を変更し記入を行なう。</t>
  </si>
  <si>
    <t>第二工区本移転年度がH26以外となる場合は、年度を変更し記入を行なう。</t>
  </si>
  <si>
    <t>（平成21年5月1日から第一工区建替住宅の所有権移転・引渡し日</t>
  </si>
  <si>
    <t>（平成21年5月1日から第一工区建替住宅の所有権移転日までの月数+本移転期間2ヶ月+精算期間3ヶ月を入力）</t>
  </si>
  <si>
    <t>までの月数+本移転期間2ヶ月を入力すること。なお、仮移転期間6ヶ月、</t>
  </si>
  <si>
    <t>本移転期間2ヶ月は固定であり変更できないことに留意すること。）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</si>
</sst>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17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color indexed="10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justify" vertical="top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horizontal="left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38" fontId="1" fillId="0" borderId="4" xfId="17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0" fontId="16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38" fontId="1" fillId="0" borderId="7" xfId="17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85" fontId="0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left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horizontal="left" indent="1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/>
    </xf>
    <xf numFmtId="185" fontId="9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 shrinkToFit="1"/>
    </xf>
    <xf numFmtId="185" fontId="9" fillId="0" borderId="3" xfId="0" applyNumberFormat="1" applyFont="1" applyFill="1" applyBorder="1" applyAlignment="1">
      <alignment horizontal="center" vertical="center" wrapText="1"/>
    </xf>
    <xf numFmtId="185" fontId="8" fillId="0" borderId="6" xfId="0" applyNumberFormat="1" applyFont="1" applyFill="1" applyBorder="1" applyAlignment="1">
      <alignment horizontal="right" vertical="center"/>
    </xf>
    <xf numFmtId="185" fontId="9" fillId="0" borderId="9" xfId="0" applyNumberFormat="1" applyFont="1" applyBorder="1" applyAlignment="1">
      <alignment horizontal="left" vertical="center"/>
    </xf>
    <xf numFmtId="185" fontId="8" fillId="0" borderId="10" xfId="0" applyNumberFormat="1" applyFont="1" applyFill="1" applyBorder="1" applyAlignment="1">
      <alignment horizontal="justify"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9" fillId="3" borderId="12" xfId="17" applyNumberFormat="1" applyFont="1" applyFill="1" applyBorder="1" applyAlignment="1">
      <alignment horizontal="right" vertical="center" wrapText="1"/>
    </xf>
    <xf numFmtId="185" fontId="8" fillId="0" borderId="11" xfId="17" applyNumberFormat="1" applyFont="1" applyFill="1" applyBorder="1" applyAlignment="1">
      <alignment horizontal="right" vertical="center" wrapText="1"/>
    </xf>
    <xf numFmtId="185" fontId="9" fillId="0" borderId="12" xfId="0" applyNumberFormat="1" applyFont="1" applyBorder="1" applyAlignment="1">
      <alignment horizontal="left"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8" fillId="0" borderId="14" xfId="17" applyNumberFormat="1" applyFont="1" applyFill="1" applyBorder="1" applyAlignment="1">
      <alignment horizontal="right" vertical="center" wrapText="1"/>
    </xf>
    <xf numFmtId="185" fontId="8" fillId="0" borderId="13" xfId="17" applyNumberFormat="1" applyFont="1" applyFill="1" applyBorder="1" applyAlignment="1">
      <alignment horizontal="right" vertical="center" wrapText="1"/>
    </xf>
    <xf numFmtId="185" fontId="8" fillId="0" borderId="14" xfId="0" applyNumberFormat="1" applyFont="1" applyBorder="1" applyAlignment="1">
      <alignment horizontal="left" vertical="center"/>
    </xf>
    <xf numFmtId="185" fontId="8" fillId="0" borderId="15" xfId="0" applyNumberFormat="1" applyFont="1" applyFill="1" applyBorder="1" applyAlignment="1">
      <alignment horizontal="justify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1" xfId="17" applyNumberFormat="1" applyFont="1" applyFill="1" applyBorder="1" applyAlignment="1">
      <alignment horizontal="right" vertical="center" wrapText="1"/>
    </xf>
    <xf numFmtId="185" fontId="8" fillId="0" borderId="16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right" vertical="center"/>
    </xf>
    <xf numFmtId="185" fontId="8" fillId="0" borderId="17" xfId="0" applyNumberFormat="1" applyFont="1" applyBorder="1" applyAlignment="1">
      <alignment wrapText="1"/>
    </xf>
    <xf numFmtId="185" fontId="8" fillId="0" borderId="3" xfId="17" applyNumberFormat="1" applyFont="1" applyBorder="1" applyAlignment="1">
      <alignment horizontal="right" vertical="center"/>
    </xf>
    <xf numFmtId="185" fontId="8" fillId="0" borderId="6" xfId="17" applyNumberFormat="1" applyFont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justify" vertical="center"/>
    </xf>
    <xf numFmtId="185" fontId="8" fillId="0" borderId="10" xfId="0" applyNumberFormat="1" applyFont="1" applyBorder="1" applyAlignment="1">
      <alignment horizontal="justify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17" applyNumberFormat="1" applyFont="1" applyBorder="1" applyAlignment="1">
      <alignment horizontal="right" vertical="center"/>
    </xf>
    <xf numFmtId="185" fontId="8" fillId="0" borderId="12" xfId="17" applyNumberFormat="1" applyFont="1" applyBorder="1" applyAlignment="1">
      <alignment horizontal="right" vertical="center"/>
    </xf>
    <xf numFmtId="185" fontId="8" fillId="0" borderId="18" xfId="17" applyNumberFormat="1" applyFont="1" applyBorder="1" applyAlignment="1">
      <alignment horizontal="right" vertical="center"/>
    </xf>
    <xf numFmtId="185" fontId="8" fillId="0" borderId="14" xfId="17" applyNumberFormat="1" applyFont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justify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3" xfId="17" applyNumberFormat="1" applyFont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justify" vertical="center"/>
    </xf>
    <xf numFmtId="185" fontId="8" fillId="0" borderId="13" xfId="17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horizontal="center" vertical="center" shrinkToFit="1"/>
    </xf>
    <xf numFmtId="185" fontId="8" fillId="0" borderId="14" xfId="17" applyNumberFormat="1" applyFont="1" applyFill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justify" vertical="center"/>
    </xf>
    <xf numFmtId="185" fontId="8" fillId="0" borderId="20" xfId="0" applyNumberFormat="1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/>
    </xf>
    <xf numFmtId="185" fontId="8" fillId="4" borderId="17" xfId="17" applyNumberFormat="1" applyFont="1" applyFill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justify" vertical="center"/>
    </xf>
    <xf numFmtId="185" fontId="8" fillId="0" borderId="0" xfId="0" applyNumberFormat="1" applyFont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justify" vertical="center"/>
    </xf>
    <xf numFmtId="185" fontId="8" fillId="0" borderId="2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9" fillId="0" borderId="22" xfId="0" applyNumberFormat="1" applyFont="1" applyFill="1" applyBorder="1" applyAlignment="1">
      <alignment horizontal="right" vertical="center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8" fillId="0" borderId="6" xfId="0" applyNumberFormat="1" applyFont="1" applyBorder="1" applyAlignment="1">
      <alignment horizontal="right" vertical="center"/>
    </xf>
    <xf numFmtId="185" fontId="8" fillId="0" borderId="23" xfId="0" applyNumberFormat="1" applyFont="1" applyFill="1" applyBorder="1" applyAlignment="1">
      <alignment horizontal="right" vertical="center"/>
    </xf>
    <xf numFmtId="185" fontId="9" fillId="0" borderId="11" xfId="17" applyNumberFormat="1" applyFont="1" applyFill="1" applyBorder="1" applyAlignment="1">
      <alignment horizontal="right" vertical="center" wrapText="1"/>
    </xf>
    <xf numFmtId="185" fontId="9" fillId="3" borderId="11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justify" vertical="center"/>
    </xf>
    <xf numFmtId="185" fontId="8" fillId="0" borderId="24" xfId="0" applyNumberFormat="1" applyFont="1" applyBorder="1" applyAlignment="1">
      <alignment horizontal="left" vertical="center"/>
    </xf>
    <xf numFmtId="185" fontId="8" fillId="0" borderId="22" xfId="17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vertical="center"/>
    </xf>
    <xf numFmtId="185" fontId="8" fillId="0" borderId="11" xfId="17" applyNumberFormat="1" applyFont="1" applyFill="1" applyBorder="1" applyAlignment="1">
      <alignment horizontal="right" vertical="center"/>
    </xf>
    <xf numFmtId="185" fontId="8" fillId="0" borderId="12" xfId="17" applyNumberFormat="1" applyFont="1" applyFill="1" applyBorder="1" applyAlignment="1">
      <alignment horizontal="right" vertical="center"/>
    </xf>
    <xf numFmtId="185" fontId="8" fillId="0" borderId="17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10" fillId="0" borderId="2" xfId="0" applyNumberFormat="1" applyFont="1" applyBorder="1" applyAlignment="1">
      <alignment horizontal="center" vertical="center" wrapText="1"/>
    </xf>
    <xf numFmtId="185" fontId="10" fillId="0" borderId="2" xfId="0" applyNumberFormat="1" applyFont="1" applyFill="1" applyBorder="1" applyAlignment="1">
      <alignment horizontal="right" vertical="center" wrapText="1"/>
    </xf>
    <xf numFmtId="185" fontId="11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/>
    </xf>
    <xf numFmtId="185" fontId="11" fillId="0" borderId="3" xfId="0" applyNumberFormat="1" applyFont="1" applyFill="1" applyBorder="1" applyAlignment="1">
      <alignment horizontal="center" vertical="center" wrapText="1"/>
    </xf>
    <xf numFmtId="185" fontId="11" fillId="3" borderId="12" xfId="17" applyNumberFormat="1" applyFont="1" applyFill="1" applyBorder="1" applyAlignment="1">
      <alignment horizontal="right" vertical="center" wrapText="1"/>
    </xf>
    <xf numFmtId="185" fontId="8" fillId="0" borderId="12" xfId="0" applyNumberFormat="1" applyFont="1" applyFill="1" applyBorder="1" applyAlignment="1">
      <alignment horizontal="left" vertical="center"/>
    </xf>
    <xf numFmtId="185" fontId="10" fillId="0" borderId="14" xfId="17" applyNumberFormat="1" applyFont="1" applyFill="1" applyBorder="1" applyAlignment="1">
      <alignment horizontal="right" vertical="center" wrapText="1"/>
    </xf>
    <xf numFmtId="185" fontId="10" fillId="0" borderId="1" xfId="17" applyNumberFormat="1" applyFont="1" applyFill="1" applyBorder="1" applyAlignment="1">
      <alignment horizontal="right" vertical="center" wrapText="1"/>
    </xf>
    <xf numFmtId="185" fontId="10" fillId="0" borderId="16" xfId="17" applyNumberFormat="1" applyFont="1" applyFill="1" applyBorder="1" applyAlignment="1">
      <alignment horizontal="right" vertical="center" wrapText="1"/>
    </xf>
    <xf numFmtId="185" fontId="8" fillId="0" borderId="25" xfId="17" applyNumberFormat="1" applyFont="1" applyBorder="1" applyAlignment="1">
      <alignment horizontal="right" vertical="center"/>
    </xf>
    <xf numFmtId="185" fontId="8" fillId="0" borderId="20" xfId="0" applyNumberFormat="1" applyFont="1" applyFill="1" applyBorder="1" applyAlignment="1">
      <alignment horizontal="right" vertical="center"/>
    </xf>
    <xf numFmtId="185" fontId="8" fillId="4" borderId="26" xfId="17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left" vertical="center"/>
    </xf>
    <xf numFmtId="185" fontId="11" fillId="0" borderId="2" xfId="0" applyNumberFormat="1" applyFont="1" applyFill="1" applyBorder="1" applyAlignment="1">
      <alignment horizontal="right" vertical="center" wrapText="1"/>
    </xf>
    <xf numFmtId="185" fontId="11" fillId="0" borderId="22" xfId="0" applyNumberFormat="1" applyFont="1" applyFill="1" applyBorder="1" applyAlignment="1">
      <alignment horizontal="right" vertical="center" wrapText="1"/>
    </xf>
    <xf numFmtId="185" fontId="11" fillId="0" borderId="3" xfId="0" applyNumberFormat="1" applyFont="1" applyFill="1" applyBorder="1" applyAlignment="1">
      <alignment horizontal="right" vertical="center" wrapText="1"/>
    </xf>
    <xf numFmtId="185" fontId="11" fillId="0" borderId="11" xfId="17" applyNumberFormat="1" applyFont="1" applyFill="1" applyBorder="1" applyAlignment="1">
      <alignment horizontal="right" vertical="center" wrapText="1"/>
    </xf>
    <xf numFmtId="185" fontId="10" fillId="0" borderId="11" xfId="17" applyNumberFormat="1" applyFont="1" applyFill="1" applyBorder="1" applyAlignment="1">
      <alignment horizontal="right" vertical="center" wrapText="1"/>
    </xf>
    <xf numFmtId="185" fontId="11" fillId="3" borderId="11" xfId="17" applyNumberFormat="1" applyFont="1" applyFill="1" applyBorder="1" applyAlignment="1">
      <alignment horizontal="right" vertical="center" wrapText="1"/>
    </xf>
    <xf numFmtId="185" fontId="8" fillId="0" borderId="0" xfId="0" applyNumberFormat="1" applyFont="1" applyBorder="1" applyAlignment="1">
      <alignment horizontal="right" vertical="center"/>
    </xf>
    <xf numFmtId="185" fontId="8" fillId="0" borderId="27" xfId="17" applyNumberFormat="1" applyFont="1" applyBorder="1" applyAlignment="1">
      <alignment horizontal="right" vertical="center"/>
    </xf>
    <xf numFmtId="185" fontId="8" fillId="0" borderId="18" xfId="0" applyNumberFormat="1" applyFont="1" applyFill="1" applyBorder="1" applyAlignment="1">
      <alignment horizontal="justify" vertical="center"/>
    </xf>
    <xf numFmtId="185" fontId="9" fillId="0" borderId="27" xfId="0" applyNumberFormat="1" applyFont="1" applyBorder="1" applyAlignment="1">
      <alignment horizontal="center" vertical="center" shrinkToFit="1"/>
    </xf>
    <xf numFmtId="185" fontId="9" fillId="0" borderId="13" xfId="0" applyNumberFormat="1" applyFont="1" applyBorder="1" applyAlignment="1">
      <alignment horizontal="center" vertical="center" shrinkToFit="1"/>
    </xf>
    <xf numFmtId="185" fontId="9" fillId="0" borderId="19" xfId="0" applyNumberFormat="1" applyFont="1" applyBorder="1" applyAlignment="1">
      <alignment horizontal="center" vertical="center" shrinkToFit="1"/>
    </xf>
    <xf numFmtId="185" fontId="8" fillId="0" borderId="21" xfId="0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vertical="center"/>
    </xf>
    <xf numFmtId="185" fontId="8" fillId="0" borderId="27" xfId="17" applyNumberFormat="1" applyFont="1" applyFill="1" applyBorder="1" applyAlignment="1">
      <alignment horizontal="right" vertical="center"/>
    </xf>
    <xf numFmtId="185" fontId="8" fillId="0" borderId="18" xfId="17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 vertical="top"/>
    </xf>
    <xf numFmtId="38" fontId="1" fillId="0" borderId="6" xfId="17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38" fontId="2" fillId="0" borderId="6" xfId="17" applyFont="1" applyFill="1" applyBorder="1" applyAlignment="1">
      <alignment horizontal="center" vertical="top"/>
    </xf>
    <xf numFmtId="0" fontId="2" fillId="0" borderId="6" xfId="17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/>
    </xf>
    <xf numFmtId="38" fontId="1" fillId="0" borderId="7" xfId="17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/>
    </xf>
    <xf numFmtId="0" fontId="2" fillId="0" borderId="28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center" vertical="top" shrinkToFit="1"/>
    </xf>
    <xf numFmtId="0" fontId="2" fillId="0" borderId="6" xfId="0" applyFont="1" applyFill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185" fontId="8" fillId="0" borderId="2" xfId="0" applyNumberFormat="1" applyFont="1" applyFill="1" applyBorder="1" applyAlignment="1">
      <alignment horizontal="right" vertical="center"/>
    </xf>
    <xf numFmtId="185" fontId="0" fillId="3" borderId="2" xfId="0" applyNumberFormat="1" applyFont="1" applyFill="1" applyBorder="1" applyAlignment="1">
      <alignment horizontal="center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185" fontId="8" fillId="0" borderId="5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justify" vertical="center"/>
    </xf>
    <xf numFmtId="9" fontId="14" fillId="3" borderId="5" xfId="0" applyNumberFormat="1" applyFont="1" applyFill="1" applyBorder="1" applyAlignment="1">
      <alignment horizontal="center" vertical="center" shrinkToFit="1"/>
    </xf>
    <xf numFmtId="9" fontId="14" fillId="3" borderId="3" xfId="0" applyNumberFormat="1" applyFont="1" applyFill="1" applyBorder="1" applyAlignment="1">
      <alignment horizontal="center" vertical="center" shrinkToFit="1"/>
    </xf>
    <xf numFmtId="9" fontId="14" fillId="3" borderId="6" xfId="0" applyNumberFormat="1" applyFont="1" applyFill="1" applyBorder="1" applyAlignment="1">
      <alignment horizontal="center" vertical="center" shrinkToFit="1"/>
    </xf>
    <xf numFmtId="185" fontId="8" fillId="0" borderId="8" xfId="0" applyNumberFormat="1" applyFont="1" applyBorder="1" applyAlignment="1">
      <alignment horizontal="justify" vertical="center"/>
    </xf>
    <xf numFmtId="185" fontId="8" fillId="0" borderId="22" xfId="0" applyNumberFormat="1" applyFont="1" applyBorder="1" applyAlignment="1">
      <alignment horizontal="justify" vertical="center"/>
    </xf>
    <xf numFmtId="185" fontId="8" fillId="0" borderId="8" xfId="0" applyNumberFormat="1" applyFont="1" applyFill="1" applyBorder="1" applyAlignment="1">
      <alignment horizontal="justify" vertical="center"/>
    </xf>
    <xf numFmtId="185" fontId="8" fillId="0" borderId="22" xfId="0" applyNumberFormat="1" applyFont="1" applyFill="1" applyBorder="1" applyAlignment="1">
      <alignment horizontal="justify" vertical="center"/>
    </xf>
    <xf numFmtId="185" fontId="14" fillId="3" borderId="5" xfId="0" applyNumberFormat="1" applyFont="1" applyFill="1" applyBorder="1" applyAlignment="1">
      <alignment horizontal="center" vertical="center" shrinkToFit="1"/>
    </xf>
    <xf numFmtId="185" fontId="14" fillId="3" borderId="3" xfId="0" applyNumberFormat="1" applyFont="1" applyFill="1" applyBorder="1" applyAlignment="1">
      <alignment horizontal="center" vertical="center" shrinkToFit="1"/>
    </xf>
    <xf numFmtId="185" fontId="14" fillId="3" borderId="6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right" vertical="center"/>
    </xf>
    <xf numFmtId="185" fontId="0" fillId="3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2400300</xdr:colOff>
      <xdr:row>46</xdr:row>
      <xdr:rowOff>19050</xdr:rowOff>
    </xdr:from>
    <xdr:to>
      <xdr:col>9</xdr:col>
      <xdr:colOff>3943350</xdr:colOff>
      <xdr:row>47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001125" y="799147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3333750</xdr:colOff>
      <xdr:row>47</xdr:row>
      <xdr:rowOff>152400</xdr:rowOff>
    </xdr:from>
    <xdr:to>
      <xdr:col>9</xdr:col>
      <xdr:colOff>4876800</xdr:colOff>
      <xdr:row>49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934575" y="852487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7</xdr:col>
      <xdr:colOff>619125</xdr:colOff>
      <xdr:row>30</xdr:row>
      <xdr:rowOff>104775</xdr:rowOff>
    </xdr:from>
    <xdr:to>
      <xdr:col>9</xdr:col>
      <xdr:colOff>2771775</xdr:colOff>
      <xdr:row>33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5695950" y="5743575"/>
          <a:ext cx="3676650" cy="390525"/>
        </a:xfrm>
        <a:prstGeom prst="wedgeRectCallout">
          <a:avLst>
            <a:gd name="adj1" fmla="val -34453"/>
            <a:gd name="adj2" fmla="val -7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この数字を「第一工区本移転までの入居者移転支援実費の内訳」の「上記調達にかかる金利」として記入する。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161925</xdr:colOff>
      <xdr:row>46</xdr:row>
      <xdr:rowOff>47625</xdr:rowOff>
    </xdr:from>
    <xdr:to>
      <xdr:col>9</xdr:col>
      <xdr:colOff>3067050</xdr:colOff>
      <xdr:row>48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6000750" y="8258175"/>
          <a:ext cx="3667125" cy="428625"/>
        </a:xfrm>
        <a:prstGeom prst="wedgeRectCallout">
          <a:avLst>
            <a:gd name="adj1" fmla="val -45324"/>
            <a:gd name="adj2" fmla="val -9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この数字を「第二工区本移転までの入居者移転支援実費の内訳」の「上記調達にかかる金利」として記入する。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15" zoomScaleSheetLayoutView="115" workbookViewId="0" topLeftCell="A1">
      <selection activeCell="F22" sqref="F22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3" t="s">
        <v>26</v>
      </c>
      <c r="B1" s="3"/>
      <c r="C1" s="3"/>
      <c r="D1" s="1"/>
      <c r="E1" s="1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18" t="s">
        <v>43</v>
      </c>
      <c r="C6" s="165">
        <v>99</v>
      </c>
      <c r="D6" s="9" t="s">
        <v>44</v>
      </c>
      <c r="E6" s="10" t="s">
        <v>10</v>
      </c>
      <c r="F6" s="10"/>
      <c r="G6" s="1"/>
    </row>
    <row r="7" spans="1:7" ht="13.5">
      <c r="A7" s="18" t="s">
        <v>45</v>
      </c>
      <c r="C7" s="155">
        <v>280</v>
      </c>
      <c r="D7" s="9" t="s">
        <v>44</v>
      </c>
      <c r="E7" s="10" t="s">
        <v>46</v>
      </c>
      <c r="F7" s="1"/>
      <c r="G7" s="1"/>
    </row>
    <row r="8" spans="1:7" ht="13.5">
      <c r="A8" s="18" t="s">
        <v>47</v>
      </c>
      <c r="C8" s="155">
        <v>170</v>
      </c>
      <c r="D8" s="9" t="s">
        <v>44</v>
      </c>
      <c r="E8" s="10" t="s">
        <v>48</v>
      </c>
      <c r="F8" s="1"/>
      <c r="G8" s="1"/>
    </row>
    <row r="9" spans="1:7" ht="13.5">
      <c r="A9" s="18" t="s">
        <v>49</v>
      </c>
      <c r="C9" s="156">
        <v>80000</v>
      </c>
      <c r="D9" s="9" t="s">
        <v>50</v>
      </c>
      <c r="E9" s="10" t="s">
        <v>51</v>
      </c>
      <c r="F9" s="1"/>
      <c r="G9" s="1"/>
    </row>
    <row r="10" spans="1:7" ht="13.5">
      <c r="A10" s="18" t="s">
        <v>52</v>
      </c>
      <c r="C10" s="156">
        <v>20000</v>
      </c>
      <c r="D10" s="9" t="s">
        <v>50</v>
      </c>
      <c r="E10" s="10" t="s">
        <v>11</v>
      </c>
      <c r="F10" s="1"/>
      <c r="G10" s="1"/>
    </row>
    <row r="11" spans="1:7" ht="13.5">
      <c r="A11" s="18" t="s">
        <v>87</v>
      </c>
      <c r="C11" s="156">
        <v>60000</v>
      </c>
      <c r="D11" s="9" t="s">
        <v>50</v>
      </c>
      <c r="E11" s="10" t="s">
        <v>53</v>
      </c>
      <c r="F11" s="1"/>
      <c r="G11" s="1"/>
    </row>
    <row r="12" spans="1:7" ht="13.5">
      <c r="A12" s="18" t="s">
        <v>88</v>
      </c>
      <c r="C12" s="155">
        <v>45</v>
      </c>
      <c r="D12" s="9" t="s">
        <v>44</v>
      </c>
      <c r="E12" s="10" t="s">
        <v>54</v>
      </c>
      <c r="F12" s="1"/>
      <c r="G12" s="1"/>
    </row>
    <row r="13" spans="1:7" ht="13.5">
      <c r="A13" s="18" t="s">
        <v>89</v>
      </c>
      <c r="C13" s="156">
        <f>C9*0.525</f>
        <v>42000</v>
      </c>
      <c r="D13" s="9" t="s">
        <v>50</v>
      </c>
      <c r="E13" s="10" t="s">
        <v>12</v>
      </c>
      <c r="F13" s="1"/>
      <c r="G13" s="1"/>
    </row>
    <row r="14" spans="1:7" ht="13.5">
      <c r="A14" s="18" t="s">
        <v>55</v>
      </c>
      <c r="C14" s="156">
        <v>450000</v>
      </c>
      <c r="D14" s="9" t="s">
        <v>50</v>
      </c>
      <c r="E14" s="10" t="s">
        <v>13</v>
      </c>
      <c r="F14" s="1"/>
      <c r="G14" s="1"/>
    </row>
    <row r="15" spans="1:7" ht="13.5">
      <c r="A15" s="18" t="s">
        <v>94</v>
      </c>
      <c r="C15" s="156">
        <v>800000</v>
      </c>
      <c r="D15" s="9" t="s">
        <v>95</v>
      </c>
      <c r="E15" s="10" t="s">
        <v>96</v>
      </c>
      <c r="F15" s="1"/>
      <c r="G15" s="1"/>
    </row>
    <row r="16" spans="1:7" ht="13.5">
      <c r="A16" s="18" t="s">
        <v>56</v>
      </c>
      <c r="C16" s="156">
        <v>171000</v>
      </c>
      <c r="D16" s="9" t="s">
        <v>50</v>
      </c>
      <c r="E16" s="10" t="s">
        <v>86</v>
      </c>
      <c r="F16" s="1"/>
      <c r="G16" s="1"/>
    </row>
    <row r="17" spans="1:7" ht="14.25">
      <c r="A17" s="4"/>
      <c r="B17" s="4"/>
      <c r="C17" s="19"/>
      <c r="F17" s="1"/>
      <c r="G17" s="1"/>
    </row>
    <row r="18" spans="1:7" ht="13.5">
      <c r="A18" s="3" t="s">
        <v>1</v>
      </c>
      <c r="B18" s="3"/>
      <c r="C18" s="3"/>
      <c r="D18" s="1"/>
      <c r="E18" s="1"/>
      <c r="F18" s="1"/>
      <c r="G18" s="1"/>
    </row>
    <row r="19" spans="1:5" ht="13.5">
      <c r="A19" s="3" t="s">
        <v>57</v>
      </c>
      <c r="B19" s="3"/>
      <c r="C19" s="12">
        <f>'金利計算'!C7</f>
        <v>0</v>
      </c>
      <c r="D19" s="1" t="s">
        <v>14</v>
      </c>
      <c r="E19" s="1" t="s">
        <v>128</v>
      </c>
    </row>
    <row r="20" spans="1:5" ht="13.5">
      <c r="A20" s="3"/>
      <c r="B20" s="3"/>
      <c r="C20" s="12"/>
      <c r="D20" s="1"/>
      <c r="E20" s="5" t="s">
        <v>130</v>
      </c>
    </row>
    <row r="21" spans="1:5" ht="13.5">
      <c r="A21" s="3"/>
      <c r="B21" s="3"/>
      <c r="C21" s="12"/>
      <c r="D21" s="1"/>
      <c r="E21" s="5" t="s">
        <v>131</v>
      </c>
    </row>
    <row r="22" spans="1:5" ht="13.5">
      <c r="A22" s="3" t="s">
        <v>58</v>
      </c>
      <c r="B22" s="3"/>
      <c r="C22" s="13">
        <f>'金利計算'!C6</f>
        <v>0</v>
      </c>
      <c r="D22" s="1"/>
      <c r="E22" s="1" t="s">
        <v>15</v>
      </c>
    </row>
    <row r="23" spans="1:7" ht="14.25">
      <c r="A23" s="4"/>
      <c r="B23" s="4"/>
      <c r="C23" s="4"/>
      <c r="D23" s="1"/>
      <c r="E23" s="1"/>
      <c r="F23" s="1"/>
      <c r="G23" s="1"/>
    </row>
    <row r="24" spans="1:7" ht="13.5">
      <c r="A24" s="3" t="s">
        <v>85</v>
      </c>
      <c r="B24" s="3"/>
      <c r="C24" s="3"/>
      <c r="D24" s="1"/>
      <c r="E24" s="1"/>
      <c r="F24" s="1"/>
      <c r="G24" s="1"/>
    </row>
    <row r="25" spans="1:7" s="27" customFormat="1" ht="13.5">
      <c r="A25" s="24"/>
      <c r="B25" s="25"/>
      <c r="C25" s="25"/>
      <c r="D25" s="26"/>
      <c r="E25" s="20" t="s">
        <v>2</v>
      </c>
      <c r="F25" s="21" t="s">
        <v>3</v>
      </c>
      <c r="G25" s="22"/>
    </row>
    <row r="26" spans="1:7" ht="13.5">
      <c r="A26" s="166" t="s">
        <v>4</v>
      </c>
      <c r="B26" s="178" t="s">
        <v>5</v>
      </c>
      <c r="C26" s="178"/>
      <c r="D26" s="178"/>
      <c r="E26" s="157" t="s">
        <v>40</v>
      </c>
      <c r="F26" s="158">
        <f>C6*C16/1000</f>
        <v>16929</v>
      </c>
      <c r="G26" s="159"/>
    </row>
    <row r="27" spans="1:7" ht="13.5">
      <c r="A27" s="172"/>
      <c r="B27" s="178" t="s">
        <v>6</v>
      </c>
      <c r="C27" s="178"/>
      <c r="D27" s="178"/>
      <c r="E27" s="160" t="s">
        <v>93</v>
      </c>
      <c r="F27" s="158">
        <f>C12*C13/1000</f>
        <v>1890</v>
      </c>
      <c r="G27" s="159"/>
    </row>
    <row r="28" spans="1:7" ht="13.5">
      <c r="A28" s="173"/>
      <c r="B28" s="178" t="s">
        <v>99</v>
      </c>
      <c r="C28" s="178"/>
      <c r="D28" s="178"/>
      <c r="E28" s="160" t="s">
        <v>100</v>
      </c>
      <c r="F28" s="158">
        <f>C6*420/1000</f>
        <v>41.58</v>
      </c>
      <c r="G28" s="159"/>
    </row>
    <row r="29" spans="1:7" ht="13.5" customHeight="1">
      <c r="A29" s="166" t="s">
        <v>7</v>
      </c>
      <c r="B29" s="178" t="s">
        <v>37</v>
      </c>
      <c r="C29" s="178"/>
      <c r="D29" s="178"/>
      <c r="E29" s="157" t="s">
        <v>90</v>
      </c>
      <c r="F29" s="161">
        <f>C11*C12*C19/1000</f>
        <v>0</v>
      </c>
      <c r="G29" s="159"/>
    </row>
    <row r="30" spans="1:7" ht="27" customHeight="1">
      <c r="A30" s="172"/>
      <c r="B30" s="167" t="s">
        <v>101</v>
      </c>
      <c r="C30" s="170"/>
      <c r="D30" s="171"/>
      <c r="E30" s="157" t="s">
        <v>102</v>
      </c>
      <c r="F30" s="161">
        <f>C12*420*C19/1000</f>
        <v>0</v>
      </c>
      <c r="G30" s="159"/>
    </row>
    <row r="31" spans="1:7" ht="27" customHeight="1">
      <c r="A31" s="172"/>
      <c r="B31" s="167" t="s">
        <v>114</v>
      </c>
      <c r="C31" s="170"/>
      <c r="D31" s="171"/>
      <c r="E31" s="157" t="s">
        <v>115</v>
      </c>
      <c r="F31" s="161">
        <f>C12*420/1000</f>
        <v>18.9</v>
      </c>
      <c r="G31" s="159"/>
    </row>
    <row r="32" spans="1:7" ht="26.25" customHeight="1">
      <c r="A32" s="172"/>
      <c r="B32" s="167" t="s">
        <v>103</v>
      </c>
      <c r="C32" s="168"/>
      <c r="D32" s="169"/>
      <c r="E32" s="157" t="s">
        <v>113</v>
      </c>
      <c r="F32" s="162">
        <f>840*C19/1000</f>
        <v>0</v>
      </c>
      <c r="G32" s="159"/>
    </row>
    <row r="33" spans="1:7" ht="26.25" customHeight="1">
      <c r="A33" s="172"/>
      <c r="B33" s="167" t="s">
        <v>110</v>
      </c>
      <c r="C33" s="170"/>
      <c r="D33" s="171"/>
      <c r="E33" s="157" t="s">
        <v>117</v>
      </c>
      <c r="F33" s="162">
        <f>32*420*C19/1000</f>
        <v>0</v>
      </c>
      <c r="G33" s="159"/>
    </row>
    <row r="34" spans="1:7" ht="13.5">
      <c r="A34" s="172"/>
      <c r="B34" s="178" t="s">
        <v>16</v>
      </c>
      <c r="C34" s="178"/>
      <c r="D34" s="178"/>
      <c r="E34" s="157" t="s">
        <v>91</v>
      </c>
      <c r="F34" s="158">
        <f>C12*C14/1000</f>
        <v>20250</v>
      </c>
      <c r="G34" s="159"/>
    </row>
    <row r="35" spans="1:7" ht="13.5">
      <c r="A35" s="173"/>
      <c r="B35" s="174" t="s">
        <v>111</v>
      </c>
      <c r="C35" s="175"/>
      <c r="D35" s="176"/>
      <c r="E35" s="157" t="s">
        <v>105</v>
      </c>
      <c r="F35" s="158">
        <f>420*C12/1000</f>
        <v>18.9</v>
      </c>
      <c r="G35" s="159"/>
    </row>
    <row r="36" spans="1:7" ht="13.5">
      <c r="A36" s="179" t="s">
        <v>9</v>
      </c>
      <c r="B36" s="178" t="s">
        <v>38</v>
      </c>
      <c r="C36" s="178"/>
      <c r="D36" s="178"/>
      <c r="E36" s="157" t="s">
        <v>41</v>
      </c>
      <c r="F36" s="158">
        <f>C7*C16/1000</f>
        <v>47880</v>
      </c>
      <c r="G36" s="163"/>
    </row>
    <row r="37" spans="1:7" ht="13.5">
      <c r="A37" s="180"/>
      <c r="B37" s="182" t="s">
        <v>99</v>
      </c>
      <c r="C37" s="168"/>
      <c r="D37" s="169"/>
      <c r="E37" s="157" t="s">
        <v>106</v>
      </c>
      <c r="F37" s="158">
        <f>C7*420/1000</f>
        <v>117.6</v>
      </c>
      <c r="G37" s="163"/>
    </row>
    <row r="38" spans="1:7" ht="13.5">
      <c r="A38" s="180"/>
      <c r="B38" s="178" t="s">
        <v>39</v>
      </c>
      <c r="C38" s="178"/>
      <c r="D38" s="178"/>
      <c r="E38" s="157" t="s">
        <v>42</v>
      </c>
      <c r="F38" s="158">
        <f>C8*C16/1000</f>
        <v>29070</v>
      </c>
      <c r="G38" s="163"/>
    </row>
    <row r="39" spans="1:7" ht="13.5">
      <c r="A39" s="181"/>
      <c r="B39" s="182" t="s">
        <v>99</v>
      </c>
      <c r="C39" s="168"/>
      <c r="D39" s="169"/>
      <c r="E39" s="157" t="s">
        <v>107</v>
      </c>
      <c r="F39" s="164">
        <f>C8*420/1000</f>
        <v>71.4</v>
      </c>
      <c r="G39" s="163"/>
    </row>
    <row r="40" spans="1:7" ht="13.5">
      <c r="A40" s="177" t="s">
        <v>78</v>
      </c>
      <c r="B40" s="177"/>
      <c r="C40" s="177"/>
      <c r="D40" s="177"/>
      <c r="E40" s="11"/>
      <c r="F40" s="23">
        <f>'金利計算'!I30</f>
        <v>0</v>
      </c>
      <c r="G40" s="6"/>
    </row>
    <row r="41" spans="1:7" ht="13.5">
      <c r="A41" s="177" t="s">
        <v>79</v>
      </c>
      <c r="B41" s="177"/>
      <c r="C41" s="177"/>
      <c r="D41" s="177"/>
      <c r="E41" s="11"/>
      <c r="F41" s="23">
        <f>'金利計算'!I45</f>
        <v>0</v>
      </c>
      <c r="G41" s="6"/>
    </row>
    <row r="42" spans="1:7" ht="13.5">
      <c r="A42" s="15" t="s">
        <v>25</v>
      </c>
      <c r="B42" s="8"/>
      <c r="C42" s="16"/>
      <c r="D42" s="17"/>
      <c r="E42" s="2"/>
      <c r="F42" s="14">
        <f>SUM(F26:F41)</f>
        <v>116287.38</v>
      </c>
      <c r="G42" s="6"/>
    </row>
    <row r="43" spans="1:7" ht="14.25">
      <c r="A43" s="7"/>
      <c r="B43" s="7"/>
      <c r="C43" s="4"/>
      <c r="D43" s="1"/>
      <c r="E43" s="1"/>
      <c r="F43" s="1"/>
      <c r="G43" s="1"/>
    </row>
  </sheetData>
  <mergeCells count="19">
    <mergeCell ref="B26:D26"/>
    <mergeCell ref="B27:D27"/>
    <mergeCell ref="B29:D29"/>
    <mergeCell ref="A26:A28"/>
    <mergeCell ref="B28:D28"/>
    <mergeCell ref="A40:D40"/>
    <mergeCell ref="A41:D41"/>
    <mergeCell ref="B36:D36"/>
    <mergeCell ref="B34:D34"/>
    <mergeCell ref="A36:A39"/>
    <mergeCell ref="B37:D37"/>
    <mergeCell ref="B39:D39"/>
    <mergeCell ref="B38:D38"/>
    <mergeCell ref="B32:D32"/>
    <mergeCell ref="B33:D33"/>
    <mergeCell ref="A29:A35"/>
    <mergeCell ref="B35:D35"/>
    <mergeCell ref="B30:D30"/>
    <mergeCell ref="B31:D31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54"/>
  <sheetViews>
    <sheetView view="pageBreakPreview" zoomScaleSheetLayoutView="100" workbookViewId="0" topLeftCell="A1">
      <selection activeCell="I10" sqref="I10"/>
    </sheetView>
  </sheetViews>
  <sheetFormatPr defaultColWidth="9.00390625" defaultRowHeight="13.5"/>
  <cols>
    <col min="1" max="1" width="3.00390625" style="29" customWidth="1"/>
    <col min="2" max="2" width="13.625" style="29" customWidth="1"/>
    <col min="3" max="8" width="10.00390625" style="29" customWidth="1"/>
    <col min="9" max="9" width="10.00390625" style="30" customWidth="1"/>
    <col min="10" max="10" width="63.50390625" style="29" customWidth="1"/>
    <col min="11" max="39" width="5.875" style="31" customWidth="1"/>
    <col min="40" max="222" width="9.00390625" style="31" customWidth="1"/>
    <col min="223" max="16384" width="9.00390625" style="29" customWidth="1"/>
  </cols>
  <sheetData>
    <row r="1" ht="13.5">
      <c r="A1" s="28" t="s">
        <v>98</v>
      </c>
    </row>
    <row r="2" ht="3.75" customHeight="1"/>
    <row r="3" spans="1:10" s="28" customFormat="1" ht="13.5">
      <c r="A3" s="184"/>
      <c r="B3" s="184"/>
      <c r="C3" s="32" t="s">
        <v>29</v>
      </c>
      <c r="D3" s="33"/>
      <c r="E3" s="34"/>
      <c r="F3" s="34"/>
      <c r="G3" s="34"/>
      <c r="H3" s="34"/>
      <c r="I3" s="35"/>
      <c r="J3" s="34"/>
    </row>
    <row r="4" spans="1:10" s="28" customFormat="1" ht="3.75" customHeight="1">
      <c r="A4" s="36"/>
      <c r="B4" s="37"/>
      <c r="C4" s="37"/>
      <c r="D4" s="34"/>
      <c r="E4" s="34"/>
      <c r="F4" s="34"/>
      <c r="G4" s="34"/>
      <c r="H4" s="34"/>
      <c r="I4" s="35"/>
      <c r="J4" s="34"/>
    </row>
    <row r="5" spans="1:10" s="28" customFormat="1" ht="13.5">
      <c r="A5" s="36" t="s">
        <v>33</v>
      </c>
      <c r="B5" s="37"/>
      <c r="C5" s="37"/>
      <c r="D5" s="34"/>
      <c r="E5" s="34"/>
      <c r="F5" s="34"/>
      <c r="G5" s="34"/>
      <c r="H5" s="34"/>
      <c r="I5" s="35"/>
      <c r="J5" s="34"/>
    </row>
    <row r="6" spans="1:10" s="28" customFormat="1" ht="14.25" customHeight="1">
      <c r="A6" s="185" t="s">
        <v>23</v>
      </c>
      <c r="B6" s="186"/>
      <c r="C6" s="189">
        <v>0</v>
      </c>
      <c r="D6" s="190"/>
      <c r="E6" s="191"/>
      <c r="F6" s="34"/>
      <c r="G6" s="34"/>
      <c r="H6" s="34"/>
      <c r="I6" s="35"/>
      <c r="J6" s="34"/>
    </row>
    <row r="7" spans="1:10" s="28" customFormat="1" ht="14.25" customHeight="1">
      <c r="A7" s="185" t="s">
        <v>63</v>
      </c>
      <c r="B7" s="186"/>
      <c r="C7" s="196">
        <v>0</v>
      </c>
      <c r="D7" s="197"/>
      <c r="E7" s="198"/>
      <c r="F7" s="38" t="s">
        <v>129</v>
      </c>
      <c r="G7" s="39"/>
      <c r="H7" s="34"/>
      <c r="I7" s="35"/>
      <c r="J7" s="34"/>
    </row>
    <row r="8" spans="1:10" s="28" customFormat="1" ht="6.75" customHeight="1">
      <c r="A8" s="40"/>
      <c r="B8" s="40"/>
      <c r="C8" s="40"/>
      <c r="D8" s="41"/>
      <c r="E8" s="41"/>
      <c r="F8" s="42"/>
      <c r="G8" s="39"/>
      <c r="H8" s="43"/>
      <c r="I8" s="44"/>
      <c r="J8" s="34"/>
    </row>
    <row r="9" spans="1:10" ht="12.75" customHeight="1">
      <c r="A9" s="45" t="s">
        <v>24</v>
      </c>
      <c r="B9" s="32"/>
      <c r="C9" s="32"/>
      <c r="D9" s="32"/>
      <c r="E9" s="32"/>
      <c r="F9" s="32"/>
      <c r="G9" s="32"/>
      <c r="H9" s="32"/>
      <c r="I9" s="46"/>
      <c r="J9" s="32"/>
    </row>
    <row r="10" spans="1:10" ht="12">
      <c r="A10" s="45" t="s">
        <v>59</v>
      </c>
      <c r="B10" s="32"/>
      <c r="C10" s="32"/>
      <c r="D10" s="32"/>
      <c r="E10" s="32"/>
      <c r="F10" s="32"/>
      <c r="G10" s="32"/>
      <c r="H10" s="32"/>
      <c r="I10" s="46"/>
      <c r="J10" s="32"/>
    </row>
    <row r="11" spans="1:10" ht="20.25" customHeight="1">
      <c r="A11" s="187" t="s">
        <v>83</v>
      </c>
      <c r="B11" s="188"/>
      <c r="C11" s="125" t="s">
        <v>118</v>
      </c>
      <c r="D11" s="125" t="s">
        <v>119</v>
      </c>
      <c r="E11" s="125" t="s">
        <v>35</v>
      </c>
      <c r="F11" s="125" t="s">
        <v>36</v>
      </c>
      <c r="G11" s="125" t="s">
        <v>120</v>
      </c>
      <c r="H11" s="125" t="s">
        <v>121</v>
      </c>
      <c r="I11" s="47" t="s">
        <v>18</v>
      </c>
      <c r="J11" s="48" t="s">
        <v>17</v>
      </c>
    </row>
    <row r="12" spans="1:10" ht="12.75" customHeight="1">
      <c r="A12" s="49"/>
      <c r="B12" s="50" t="s">
        <v>27</v>
      </c>
      <c r="C12" s="51">
        <v>11</v>
      </c>
      <c r="D12" s="51">
        <f>IF(I12-C12&gt;12,12,I12-C12)</f>
        <v>-11</v>
      </c>
      <c r="E12" s="51">
        <f>IF(I12-C12-D12&gt;12,12,I12-C12-D12)</f>
        <v>0</v>
      </c>
      <c r="F12" s="51">
        <f>IF(I12-C12-D12-E12&gt;12,12,I12-C12-D12-E12)</f>
        <v>0</v>
      </c>
      <c r="G12" s="52"/>
      <c r="H12" s="52"/>
      <c r="I12" s="47">
        <f>C7</f>
        <v>0</v>
      </c>
      <c r="J12" s="53" t="s">
        <v>28</v>
      </c>
    </row>
    <row r="13" spans="1:10" ht="30.75" customHeight="1">
      <c r="A13" s="49"/>
      <c r="B13" s="47" t="s">
        <v>92</v>
      </c>
      <c r="C13" s="52"/>
      <c r="D13" s="52"/>
      <c r="E13" s="54"/>
      <c r="F13" s="54"/>
      <c r="G13" s="52"/>
      <c r="H13" s="52"/>
      <c r="I13" s="47"/>
      <c r="J13" s="55" t="s">
        <v>75</v>
      </c>
    </row>
    <row r="14" spans="1:10" ht="12.75" customHeight="1">
      <c r="A14" s="194" t="s">
        <v>62</v>
      </c>
      <c r="B14" s="195"/>
      <c r="C14" s="195"/>
      <c r="D14" s="56"/>
      <c r="E14" s="56"/>
      <c r="F14" s="56"/>
      <c r="G14" s="56"/>
      <c r="H14" s="56"/>
      <c r="I14" s="57"/>
      <c r="J14" s="58"/>
    </row>
    <row r="15" spans="1:10" ht="12.75" customHeight="1">
      <c r="A15" s="59"/>
      <c r="B15" s="60" t="s">
        <v>30</v>
      </c>
      <c r="C15" s="61"/>
      <c r="D15" s="61"/>
      <c r="E15" s="61"/>
      <c r="F15" s="61"/>
      <c r="G15" s="62"/>
      <c r="H15" s="62"/>
      <c r="I15" s="60">
        <f>SUM(C15:F15)</f>
        <v>0</v>
      </c>
      <c r="J15" s="63"/>
    </row>
    <row r="16" spans="1:10" ht="12.75" customHeight="1">
      <c r="A16" s="59"/>
      <c r="B16" s="64" t="s">
        <v>31</v>
      </c>
      <c r="C16" s="65">
        <f>C29-C15</f>
        <v>84935.63999999998</v>
      </c>
      <c r="D16" s="65">
        <f>D29-D15</f>
        <v>-30037.26</v>
      </c>
      <c r="E16" s="65">
        <f>E29-E15</f>
        <v>0</v>
      </c>
      <c r="F16" s="65">
        <f>F29-F15</f>
        <v>47997.6</v>
      </c>
      <c r="G16" s="66"/>
      <c r="H16" s="66"/>
      <c r="I16" s="64"/>
      <c r="J16" s="67" t="s">
        <v>64</v>
      </c>
    </row>
    <row r="17" spans="1:10" ht="51.75" customHeight="1">
      <c r="A17" s="68"/>
      <c r="B17" s="69" t="s">
        <v>66</v>
      </c>
      <c r="C17" s="70">
        <f>C16</f>
        <v>84935.63999999998</v>
      </c>
      <c r="D17" s="71">
        <f>C16+D16+C30</f>
        <v>54898.37999999999</v>
      </c>
      <c r="E17" s="71">
        <f>E16+C24</f>
        <v>36000</v>
      </c>
      <c r="F17" s="71">
        <f>F16+C24</f>
        <v>83997.6</v>
      </c>
      <c r="G17" s="71"/>
      <c r="H17" s="71"/>
      <c r="I17" s="72">
        <f>SUM(C17:F17)</f>
        <v>259831.61999999997</v>
      </c>
      <c r="J17" s="73" t="s">
        <v>123</v>
      </c>
    </row>
    <row r="18" spans="1:10" ht="12.75" customHeight="1">
      <c r="A18" s="192" t="s">
        <v>22</v>
      </c>
      <c r="B18" s="193"/>
      <c r="C18" s="193"/>
      <c r="D18" s="74"/>
      <c r="E18" s="74"/>
      <c r="F18" s="74"/>
      <c r="G18" s="74"/>
      <c r="H18" s="74"/>
      <c r="I18" s="75"/>
      <c r="J18" s="76"/>
    </row>
    <row r="19" spans="1:10" ht="12.75" customHeight="1">
      <c r="A19" s="77"/>
      <c r="B19" s="78" t="s">
        <v>5</v>
      </c>
      <c r="C19" s="79">
        <f>'前提条件'!F26</f>
        <v>16929</v>
      </c>
      <c r="D19" s="80"/>
      <c r="E19" s="79"/>
      <c r="F19" s="80"/>
      <c r="G19" s="81"/>
      <c r="H19" s="81"/>
      <c r="I19" s="82">
        <f aca="true" t="shared" si="0" ref="I19:I30">SUM(C19:F19)</f>
        <v>16929</v>
      </c>
      <c r="J19" s="83"/>
    </row>
    <row r="20" spans="1:10" ht="12.75" customHeight="1">
      <c r="A20" s="77"/>
      <c r="B20" s="148" t="s">
        <v>108</v>
      </c>
      <c r="C20" s="146">
        <f>'前提条件'!F28</f>
        <v>41.58</v>
      </c>
      <c r="D20" s="81"/>
      <c r="E20" s="146"/>
      <c r="F20" s="81"/>
      <c r="G20" s="81"/>
      <c r="H20" s="81"/>
      <c r="I20" s="82"/>
      <c r="J20" s="147"/>
    </row>
    <row r="21" spans="1:10" ht="12.75" customHeight="1">
      <c r="A21" s="77"/>
      <c r="B21" s="84" t="s">
        <v>6</v>
      </c>
      <c r="C21" s="85">
        <f>'前提条件'!F27</f>
        <v>1890</v>
      </c>
      <c r="D21" s="82"/>
      <c r="E21" s="85"/>
      <c r="F21" s="82"/>
      <c r="G21" s="82"/>
      <c r="H21" s="82"/>
      <c r="I21" s="82">
        <f t="shared" si="0"/>
        <v>1890</v>
      </c>
      <c r="J21" s="86"/>
    </row>
    <row r="22" spans="1:10" ht="12.75" customHeight="1">
      <c r="A22" s="77"/>
      <c r="B22" s="84" t="s">
        <v>8</v>
      </c>
      <c r="C22" s="87">
        <f>('前提条件'!C11*'前提条件'!C12)*(C12-C13)/1000</f>
        <v>29700</v>
      </c>
      <c r="D22" s="87">
        <f>('前提条件'!C11*'前提条件'!C12)*(D12-D13)/1000</f>
        <v>-29700</v>
      </c>
      <c r="E22" s="87">
        <f>('前提条件'!C11*'前提条件'!C12)*(E12-E13)/1000</f>
        <v>0</v>
      </c>
      <c r="F22" s="89">
        <f>('前提条件'!C11*'前提条件'!C12)*(F12-F13)/1000</f>
        <v>0</v>
      </c>
      <c r="G22" s="87"/>
      <c r="H22" s="87"/>
      <c r="I22" s="82">
        <f t="shared" si="0"/>
        <v>0</v>
      </c>
      <c r="J22" s="86"/>
    </row>
    <row r="23" spans="1:10" ht="12.75" customHeight="1">
      <c r="A23" s="77"/>
      <c r="B23" s="149" t="s">
        <v>112</v>
      </c>
      <c r="C23" s="87">
        <f>(40*420+420+32*420)*(C12-C13)/1000</f>
        <v>337.26</v>
      </c>
      <c r="D23" s="87">
        <f>(40*420+420+32*420)*(D12-D13)/1000</f>
        <v>-337.26</v>
      </c>
      <c r="E23" s="87">
        <f>(40*420+420+32*420)*(E12-E13)/1000</f>
        <v>0</v>
      </c>
      <c r="F23" s="87">
        <f>(40*420+420+32*420)*(F12-F13)/1000</f>
        <v>0</v>
      </c>
      <c r="G23" s="89"/>
      <c r="H23" s="89"/>
      <c r="I23" s="82">
        <f t="shared" si="0"/>
        <v>0</v>
      </c>
      <c r="J23" s="86"/>
    </row>
    <row r="24" spans="1:10" ht="12.75" customHeight="1">
      <c r="A24" s="77"/>
      <c r="B24" s="84" t="s">
        <v>84</v>
      </c>
      <c r="C24" s="85">
        <f>'前提条件'!C12*'前提条件'!C15/1000</f>
        <v>36000</v>
      </c>
      <c r="D24" s="82"/>
      <c r="E24" s="85"/>
      <c r="F24" s="82"/>
      <c r="G24" s="82"/>
      <c r="H24" s="82"/>
      <c r="I24" s="82">
        <f t="shared" si="0"/>
        <v>36000</v>
      </c>
      <c r="J24" s="86"/>
    </row>
    <row r="25" spans="1:10" ht="12.75" customHeight="1">
      <c r="A25" s="77"/>
      <c r="B25" s="149" t="s">
        <v>104</v>
      </c>
      <c r="C25" s="85">
        <f>'前提条件'!F35</f>
        <v>18.9</v>
      </c>
      <c r="D25" s="82"/>
      <c r="E25" s="85"/>
      <c r="F25" s="82"/>
      <c r="G25" s="82"/>
      <c r="H25" s="82"/>
      <c r="I25" s="82">
        <f t="shared" si="0"/>
        <v>18.9</v>
      </c>
      <c r="J25" s="86"/>
    </row>
    <row r="26" spans="1:10" ht="12.75" customHeight="1">
      <c r="A26" s="77"/>
      <c r="B26" s="149" t="s">
        <v>116</v>
      </c>
      <c r="C26" s="85">
        <f>'前提条件'!F31</f>
        <v>18.9</v>
      </c>
      <c r="D26" s="82"/>
      <c r="E26" s="85"/>
      <c r="F26" s="82"/>
      <c r="G26" s="82"/>
      <c r="H26" s="82"/>
      <c r="I26" s="82">
        <f t="shared" si="0"/>
        <v>18.9</v>
      </c>
      <c r="J26" s="86"/>
    </row>
    <row r="27" spans="1:10" ht="12.75" customHeight="1">
      <c r="A27" s="77"/>
      <c r="B27" s="88" t="s">
        <v>61</v>
      </c>
      <c r="C27" s="85"/>
      <c r="D27" s="82"/>
      <c r="E27" s="152"/>
      <c r="F27" s="89">
        <f>'前提条件'!F36</f>
        <v>47880</v>
      </c>
      <c r="G27" s="89"/>
      <c r="H27" s="89"/>
      <c r="I27" s="82">
        <f t="shared" si="0"/>
        <v>47880</v>
      </c>
      <c r="J27" s="86" t="s">
        <v>124</v>
      </c>
    </row>
    <row r="28" spans="1:10" ht="12.75" customHeight="1">
      <c r="A28" s="77"/>
      <c r="B28" s="150" t="s">
        <v>109</v>
      </c>
      <c r="C28" s="85"/>
      <c r="D28" s="82"/>
      <c r="E28" s="152"/>
      <c r="F28" s="89">
        <f>'前提条件'!F37</f>
        <v>117.6</v>
      </c>
      <c r="G28" s="89"/>
      <c r="H28" s="89"/>
      <c r="I28" s="82">
        <f t="shared" si="0"/>
        <v>117.6</v>
      </c>
      <c r="J28" s="86" t="s">
        <v>124</v>
      </c>
    </row>
    <row r="29" spans="1:10" ht="12.75" customHeight="1">
      <c r="A29" s="77"/>
      <c r="B29" s="90" t="s">
        <v>20</v>
      </c>
      <c r="C29" s="85">
        <f>SUM(C19:C28)</f>
        <v>84935.63999999998</v>
      </c>
      <c r="D29" s="85">
        <f>SUM(D19:D28)</f>
        <v>-30037.26</v>
      </c>
      <c r="E29" s="85">
        <f>SUM(E19:E28)</f>
        <v>0</v>
      </c>
      <c r="F29" s="85">
        <f>SUM(F19:F28)</f>
        <v>47997.6</v>
      </c>
      <c r="G29" s="82"/>
      <c r="H29" s="82"/>
      <c r="I29" s="82">
        <f t="shared" si="0"/>
        <v>102895.97999999998</v>
      </c>
      <c r="J29" s="86"/>
    </row>
    <row r="30" spans="1:10" ht="12.75" customHeight="1">
      <c r="A30" s="91"/>
      <c r="B30" s="92" t="s">
        <v>19</v>
      </c>
      <c r="C30" s="93">
        <f>C17*$C$6*(C12)/12</f>
        <v>0</v>
      </c>
      <c r="D30" s="93">
        <f>D17*$C$6*(D12)/12</f>
        <v>0</v>
      </c>
      <c r="E30" s="93">
        <f>E17*$C$6*(E12)/12</f>
        <v>0</v>
      </c>
      <c r="F30" s="151">
        <f>F17*$C$6*(F12)/12</f>
        <v>0</v>
      </c>
      <c r="G30" s="93"/>
      <c r="H30" s="93"/>
      <c r="I30" s="94">
        <f t="shared" si="0"/>
        <v>0</v>
      </c>
      <c r="J30" s="95" t="s">
        <v>80</v>
      </c>
    </row>
    <row r="31" spans="1:10" ht="8.25" customHeight="1">
      <c r="A31" s="96"/>
      <c r="B31" s="97"/>
      <c r="C31" s="98"/>
      <c r="D31" s="99"/>
      <c r="E31" s="99"/>
      <c r="F31" s="99"/>
      <c r="G31" s="99"/>
      <c r="H31" s="99"/>
      <c r="I31" s="98"/>
      <c r="J31" s="100"/>
    </row>
    <row r="32" spans="1:10" ht="12.75" customHeight="1">
      <c r="A32" s="96"/>
      <c r="B32" s="101" t="s">
        <v>34</v>
      </c>
      <c r="C32" s="183">
        <f>C30+D30</f>
        <v>0</v>
      </c>
      <c r="D32" s="183"/>
      <c r="E32" s="102">
        <f>E30</f>
        <v>0</v>
      </c>
      <c r="F32" s="102">
        <f>F30</f>
        <v>0</v>
      </c>
      <c r="G32" s="99"/>
      <c r="H32" s="99"/>
      <c r="I32" s="98"/>
      <c r="J32" s="100"/>
    </row>
    <row r="33" spans="1:10" ht="6" customHeight="1">
      <c r="A33" s="100"/>
      <c r="B33" s="97"/>
      <c r="C33" s="99"/>
      <c r="D33" s="99"/>
      <c r="E33" s="99"/>
      <c r="F33" s="99"/>
      <c r="G33" s="99"/>
      <c r="H33" s="99"/>
      <c r="I33" s="98"/>
      <c r="J33" s="100"/>
    </row>
    <row r="34" spans="1:10" ht="12.75" customHeight="1">
      <c r="A34" s="45" t="s">
        <v>60</v>
      </c>
      <c r="B34" s="97"/>
      <c r="C34" s="99"/>
      <c r="D34" s="99"/>
      <c r="E34" s="99"/>
      <c r="F34" s="99"/>
      <c r="G34" s="99"/>
      <c r="H34" s="99"/>
      <c r="I34" s="98"/>
      <c r="J34" s="100"/>
    </row>
    <row r="35" spans="1:10" ht="20.25" customHeight="1">
      <c r="A35" s="187" t="s">
        <v>81</v>
      </c>
      <c r="B35" s="188"/>
      <c r="C35" s="125" t="s">
        <v>118</v>
      </c>
      <c r="D35" s="125" t="s">
        <v>119</v>
      </c>
      <c r="E35" s="125" t="s">
        <v>35</v>
      </c>
      <c r="F35" s="125" t="s">
        <v>36</v>
      </c>
      <c r="G35" s="125" t="s">
        <v>120</v>
      </c>
      <c r="H35" s="125" t="s">
        <v>121</v>
      </c>
      <c r="I35" s="47" t="s">
        <v>18</v>
      </c>
      <c r="J35" s="48" t="s">
        <v>17</v>
      </c>
    </row>
    <row r="36" spans="1:10" ht="12.75" customHeight="1">
      <c r="A36" s="49"/>
      <c r="B36" s="50" t="s">
        <v>27</v>
      </c>
      <c r="C36" s="52"/>
      <c r="D36" s="52"/>
      <c r="E36" s="52"/>
      <c r="F36" s="54"/>
      <c r="G36" s="54"/>
      <c r="H36" s="54"/>
      <c r="I36" s="47">
        <f>SUM(C36:H36)</f>
        <v>0</v>
      </c>
      <c r="J36" s="53" t="s">
        <v>76</v>
      </c>
    </row>
    <row r="37" spans="1:10" ht="12.75" customHeight="1">
      <c r="A37" s="49"/>
      <c r="B37" s="103"/>
      <c r="C37" s="104"/>
      <c r="D37" s="105"/>
      <c r="E37" s="105"/>
      <c r="F37" s="105"/>
      <c r="G37" s="105"/>
      <c r="H37" s="106"/>
      <c r="I37" s="107"/>
      <c r="J37" s="53"/>
    </row>
    <row r="38" spans="1:10" ht="12.75" customHeight="1">
      <c r="A38" s="194" t="s">
        <v>62</v>
      </c>
      <c r="B38" s="195"/>
      <c r="C38" s="195"/>
      <c r="D38" s="56"/>
      <c r="E38" s="56"/>
      <c r="F38" s="56"/>
      <c r="G38" s="56"/>
      <c r="H38" s="56"/>
      <c r="I38" s="57"/>
      <c r="J38" s="58"/>
    </row>
    <row r="39" spans="1:10" ht="12.75" customHeight="1">
      <c r="A39" s="68"/>
      <c r="B39" s="108" t="s">
        <v>30</v>
      </c>
      <c r="C39" s="109"/>
      <c r="D39" s="62"/>
      <c r="E39" s="62"/>
      <c r="F39" s="110"/>
      <c r="G39" s="110"/>
      <c r="H39" s="110"/>
      <c r="I39" s="60">
        <f>SUM(C39:H39)</f>
        <v>0</v>
      </c>
      <c r="J39" s="63"/>
    </row>
    <row r="40" spans="1:10" ht="12.75" customHeight="1">
      <c r="A40" s="111"/>
      <c r="B40" s="99" t="s">
        <v>31</v>
      </c>
      <c r="C40" s="71"/>
      <c r="D40" s="71"/>
      <c r="E40" s="71"/>
      <c r="F40" s="71">
        <f>F44-F39</f>
        <v>0</v>
      </c>
      <c r="G40" s="71">
        <f>G44-G39</f>
        <v>0</v>
      </c>
      <c r="H40" s="71">
        <f>H44-H39</f>
        <v>29141.4</v>
      </c>
      <c r="I40" s="72">
        <f>SUM(C40:H40)</f>
        <v>29141.4</v>
      </c>
      <c r="J40" s="112" t="s">
        <v>64</v>
      </c>
    </row>
    <row r="41" spans="1:10" ht="12.75" customHeight="1">
      <c r="A41" s="192" t="s">
        <v>82</v>
      </c>
      <c r="B41" s="193"/>
      <c r="C41" s="193"/>
      <c r="D41" s="113"/>
      <c r="E41" s="113"/>
      <c r="F41" s="113"/>
      <c r="G41" s="113"/>
      <c r="H41" s="113"/>
      <c r="I41" s="75"/>
      <c r="J41" s="76"/>
    </row>
    <row r="42" spans="1:10" ht="12.75" customHeight="1">
      <c r="A42" s="77"/>
      <c r="B42" s="78" t="s">
        <v>65</v>
      </c>
      <c r="C42" s="79"/>
      <c r="D42" s="80"/>
      <c r="E42" s="114"/>
      <c r="F42" s="115"/>
      <c r="G42" s="116"/>
      <c r="H42" s="116">
        <f>'前提条件'!F38</f>
        <v>29070</v>
      </c>
      <c r="I42" s="81">
        <f>SUM(C42:H42)</f>
        <v>29070</v>
      </c>
      <c r="J42" s="86" t="s">
        <v>125</v>
      </c>
    </row>
    <row r="43" spans="1:10" ht="12.75" customHeight="1">
      <c r="A43" s="77"/>
      <c r="B43" s="150" t="s">
        <v>109</v>
      </c>
      <c r="C43" s="146"/>
      <c r="D43" s="81"/>
      <c r="E43" s="33"/>
      <c r="F43" s="153"/>
      <c r="G43" s="154"/>
      <c r="H43" s="154">
        <f>'前提条件'!F39</f>
        <v>71.4</v>
      </c>
      <c r="I43" s="82">
        <f>SUM(C43:H43)</f>
        <v>71.4</v>
      </c>
      <c r="J43" s="86" t="s">
        <v>127</v>
      </c>
    </row>
    <row r="44" spans="1:10" ht="12.75" customHeight="1">
      <c r="A44" s="77"/>
      <c r="B44" s="90" t="s">
        <v>20</v>
      </c>
      <c r="C44" s="85"/>
      <c r="D44" s="85"/>
      <c r="E44" s="85"/>
      <c r="F44" s="85">
        <f>SUM(F42:F43)</f>
        <v>0</v>
      </c>
      <c r="G44" s="85">
        <f>SUM(G42:G43)</f>
        <v>0</v>
      </c>
      <c r="H44" s="85">
        <f>SUM(H42:H43)</f>
        <v>29141.4</v>
      </c>
      <c r="I44" s="82">
        <f>SUM(C44:H44)</f>
        <v>29141.4</v>
      </c>
      <c r="J44" s="86"/>
    </row>
    <row r="45" spans="1:10" ht="12.75" customHeight="1">
      <c r="A45" s="91"/>
      <c r="B45" s="92" t="s">
        <v>19</v>
      </c>
      <c r="C45" s="117"/>
      <c r="D45" s="93"/>
      <c r="E45" s="93"/>
      <c r="F45" s="93">
        <f>F40*C6*F36/12</f>
        <v>0</v>
      </c>
      <c r="G45" s="93">
        <f>G40*C6*G36/12</f>
        <v>0</v>
      </c>
      <c r="H45" s="93">
        <f>H40*C6*H36/12</f>
        <v>0</v>
      </c>
      <c r="I45" s="94">
        <f>SUM(C45:H45)</f>
        <v>0</v>
      </c>
      <c r="J45" s="95" t="s">
        <v>32</v>
      </c>
    </row>
    <row r="46" spans="1:10" ht="12.75" customHeight="1">
      <c r="A46" s="96"/>
      <c r="B46" s="97"/>
      <c r="C46" s="98"/>
      <c r="D46" s="99"/>
      <c r="E46" s="99"/>
      <c r="F46" s="99"/>
      <c r="G46" s="99"/>
      <c r="H46" s="99"/>
      <c r="I46" s="98"/>
      <c r="J46" s="100"/>
    </row>
    <row r="47" spans="1:10" ht="12.75" customHeight="1">
      <c r="A47" s="96"/>
      <c r="B47" s="101" t="s">
        <v>73</v>
      </c>
      <c r="C47" s="199"/>
      <c r="D47" s="199"/>
      <c r="E47" s="99"/>
      <c r="F47" s="99"/>
      <c r="G47" s="99"/>
      <c r="H47" s="102">
        <f>H45</f>
        <v>0</v>
      </c>
      <c r="I47" s="98"/>
      <c r="J47" s="100"/>
    </row>
    <row r="48" spans="1:10" ht="15" customHeight="1">
      <c r="A48" s="33"/>
      <c r="B48" s="33"/>
      <c r="C48" s="118"/>
      <c r="D48" s="118"/>
      <c r="E48" s="118"/>
      <c r="F48" s="118"/>
      <c r="G48" s="118"/>
      <c r="H48" s="118"/>
      <c r="I48" s="99"/>
      <c r="J48" s="33"/>
    </row>
    <row r="49" spans="1:223" s="31" customFormat="1" ht="12">
      <c r="A49" s="33"/>
      <c r="B49" s="32"/>
      <c r="C49" s="32"/>
      <c r="D49" s="32"/>
      <c r="E49" s="32"/>
      <c r="F49" s="32"/>
      <c r="G49" s="32"/>
      <c r="H49" s="32"/>
      <c r="I49" s="46"/>
      <c r="J49" s="32"/>
      <c r="HO49" s="29"/>
    </row>
    <row r="50" spans="1:223" s="31" customFormat="1" ht="12">
      <c r="A50" s="33"/>
      <c r="B50" s="32"/>
      <c r="C50" s="32"/>
      <c r="D50" s="32"/>
      <c r="E50" s="32"/>
      <c r="F50" s="32"/>
      <c r="G50" s="32"/>
      <c r="H50" s="32"/>
      <c r="I50" s="46"/>
      <c r="J50" s="32"/>
      <c r="HO50" s="29"/>
    </row>
    <row r="51" spans="1:223" s="31" customFormat="1" ht="12">
      <c r="A51" s="33"/>
      <c r="B51" s="32"/>
      <c r="C51" s="32"/>
      <c r="D51" s="32"/>
      <c r="E51" s="32"/>
      <c r="F51" s="32"/>
      <c r="G51" s="32"/>
      <c r="H51" s="32"/>
      <c r="I51" s="46"/>
      <c r="J51" s="32"/>
      <c r="HO51" s="29"/>
    </row>
    <row r="52" spans="1:223" s="31" customFormat="1" ht="12">
      <c r="A52" s="33"/>
      <c r="B52" s="32"/>
      <c r="C52" s="32"/>
      <c r="D52" s="32"/>
      <c r="E52" s="32"/>
      <c r="F52" s="32"/>
      <c r="G52" s="32"/>
      <c r="H52" s="32"/>
      <c r="I52" s="46"/>
      <c r="J52" s="32"/>
      <c r="HO52" s="29"/>
    </row>
    <row r="53" spans="1:223" s="31" customFormat="1" ht="12">
      <c r="A53" s="33"/>
      <c r="B53" s="32"/>
      <c r="C53" s="32"/>
      <c r="D53" s="32"/>
      <c r="E53" s="32"/>
      <c r="F53" s="32"/>
      <c r="G53" s="32"/>
      <c r="H53" s="32"/>
      <c r="I53" s="46"/>
      <c r="J53" s="32"/>
      <c r="HO53" s="29"/>
    </row>
    <row r="54" spans="1:223" s="31" customFormat="1" ht="12">
      <c r="A54" s="32"/>
      <c r="B54" s="32"/>
      <c r="C54" s="32"/>
      <c r="D54" s="32"/>
      <c r="E54" s="32"/>
      <c r="F54" s="32"/>
      <c r="G54" s="32"/>
      <c r="H54" s="32"/>
      <c r="I54" s="46"/>
      <c r="J54" s="32"/>
      <c r="HO54" s="29"/>
    </row>
  </sheetData>
  <mergeCells count="13">
    <mergeCell ref="A35:B35"/>
    <mergeCell ref="A38:C38"/>
    <mergeCell ref="A41:C41"/>
    <mergeCell ref="C47:D47"/>
    <mergeCell ref="C32:D32"/>
    <mergeCell ref="A3:B3"/>
    <mergeCell ref="A6:B6"/>
    <mergeCell ref="A11:B11"/>
    <mergeCell ref="C6:E6"/>
    <mergeCell ref="A18:C18"/>
    <mergeCell ref="A14:C14"/>
    <mergeCell ref="A7:B7"/>
    <mergeCell ref="C7:E7"/>
  </mergeCells>
  <printOptions/>
  <pageMargins left="0.7874015748031497" right="0.51" top="0.45" bottom="0.47" header="0" footer="0"/>
  <pageSetup horizontalDpi="600" verticalDpi="600" orientation="landscape" paperSize="9" scale="86" r:id="rId2"/>
  <rowBreaks count="1" manualBreakCount="1">
    <brk id="58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54"/>
  <sheetViews>
    <sheetView view="pageBreakPreview" zoomScaleSheetLayoutView="100" workbookViewId="0" topLeftCell="A19">
      <selection activeCell="C13" sqref="C13"/>
    </sheetView>
  </sheetViews>
  <sheetFormatPr defaultColWidth="9.00390625" defaultRowHeight="13.5"/>
  <cols>
    <col min="1" max="1" width="3.00390625" style="29" customWidth="1"/>
    <col min="2" max="2" width="13.625" style="29" customWidth="1"/>
    <col min="3" max="8" width="10.00390625" style="29" customWidth="1"/>
    <col min="9" max="9" width="10.00390625" style="30" customWidth="1"/>
    <col min="10" max="10" width="70.75390625" style="29" customWidth="1"/>
    <col min="11" max="39" width="5.875" style="31" customWidth="1"/>
    <col min="40" max="222" width="9.00390625" style="31" customWidth="1"/>
    <col min="223" max="16384" width="9.00390625" style="29" customWidth="1"/>
  </cols>
  <sheetData>
    <row r="1" ht="13.5">
      <c r="A1" s="119" t="s">
        <v>97</v>
      </c>
    </row>
    <row r="3" spans="1:10" s="119" customFormat="1" ht="13.5">
      <c r="A3" s="200"/>
      <c r="B3" s="200"/>
      <c r="C3" s="32" t="s">
        <v>29</v>
      </c>
      <c r="D3" s="33"/>
      <c r="E3" s="120"/>
      <c r="F3" s="120"/>
      <c r="G3" s="120"/>
      <c r="H3" s="120"/>
      <c r="I3" s="121"/>
      <c r="J3" s="120"/>
    </row>
    <row r="4" spans="1:10" s="119" customFormat="1" ht="7.5" customHeight="1">
      <c r="A4" s="36"/>
      <c r="B4" s="37"/>
      <c r="C4" s="37"/>
      <c r="D4" s="120"/>
      <c r="E4" s="120"/>
      <c r="F4" s="120"/>
      <c r="G4" s="120"/>
      <c r="H4" s="120"/>
      <c r="I4" s="121"/>
      <c r="J4" s="120"/>
    </row>
    <row r="5" spans="1:10" s="119" customFormat="1" ht="13.5">
      <c r="A5" s="36" t="s">
        <v>67</v>
      </c>
      <c r="B5" s="37"/>
      <c r="C5" s="37"/>
      <c r="D5" s="120"/>
      <c r="E5" s="120"/>
      <c r="F5" s="120"/>
      <c r="G5" s="120"/>
      <c r="H5" s="120"/>
      <c r="I5" s="121"/>
      <c r="J5" s="120"/>
    </row>
    <row r="6" spans="1:10" s="119" customFormat="1" ht="14.25" customHeight="1">
      <c r="A6" s="185" t="s">
        <v>23</v>
      </c>
      <c r="B6" s="186"/>
      <c r="C6" s="189">
        <v>0.01</v>
      </c>
      <c r="D6" s="190"/>
      <c r="E6" s="191"/>
      <c r="F6" s="120"/>
      <c r="G6" s="120"/>
      <c r="H6" s="120"/>
      <c r="I6" s="121"/>
      <c r="J6" s="120"/>
    </row>
    <row r="7" spans="1:10" s="119" customFormat="1" ht="14.25" customHeight="1">
      <c r="A7" s="185" t="s">
        <v>63</v>
      </c>
      <c r="B7" s="186"/>
      <c r="C7" s="196">
        <v>36</v>
      </c>
      <c r="D7" s="197"/>
      <c r="E7" s="198"/>
      <c r="F7" s="38" t="s">
        <v>122</v>
      </c>
      <c r="G7" s="39"/>
      <c r="H7" s="120"/>
      <c r="I7" s="121"/>
      <c r="J7" s="120"/>
    </row>
    <row r="8" spans="1:10" s="119" customFormat="1" ht="7.5" customHeight="1">
      <c r="A8" s="40"/>
      <c r="B8" s="40"/>
      <c r="C8" s="40"/>
      <c r="D8" s="122"/>
      <c r="E8" s="122"/>
      <c r="F8" s="42"/>
      <c r="G8" s="39"/>
      <c r="H8" s="123"/>
      <c r="I8" s="124"/>
      <c r="J8" s="120"/>
    </row>
    <row r="9" spans="1:10" ht="12.75" customHeight="1">
      <c r="A9" s="45" t="s">
        <v>24</v>
      </c>
      <c r="B9" s="32"/>
      <c r="C9" s="32"/>
      <c r="D9" s="32"/>
      <c r="E9" s="32"/>
      <c r="F9" s="32"/>
      <c r="G9" s="32"/>
      <c r="H9" s="32"/>
      <c r="I9" s="46"/>
      <c r="J9" s="32"/>
    </row>
    <row r="10" spans="1:10" ht="12">
      <c r="A10" s="45" t="s">
        <v>59</v>
      </c>
      <c r="B10" s="32"/>
      <c r="C10" s="32"/>
      <c r="D10" s="32"/>
      <c r="E10" s="32"/>
      <c r="F10" s="32"/>
      <c r="G10" s="32"/>
      <c r="H10" s="32"/>
      <c r="I10" s="46"/>
      <c r="J10" s="32"/>
    </row>
    <row r="11" spans="1:10" ht="20.25" customHeight="1">
      <c r="A11" s="187" t="s">
        <v>68</v>
      </c>
      <c r="B11" s="188"/>
      <c r="C11" s="125" t="s">
        <v>118</v>
      </c>
      <c r="D11" s="125" t="s">
        <v>119</v>
      </c>
      <c r="E11" s="125" t="s">
        <v>35</v>
      </c>
      <c r="F11" s="125" t="s">
        <v>36</v>
      </c>
      <c r="G11" s="125" t="s">
        <v>120</v>
      </c>
      <c r="H11" s="125" t="s">
        <v>121</v>
      </c>
      <c r="I11" s="47" t="s">
        <v>18</v>
      </c>
      <c r="J11" s="48" t="s">
        <v>17</v>
      </c>
    </row>
    <row r="12" spans="1:10" ht="12.75" customHeight="1">
      <c r="A12" s="49"/>
      <c r="B12" s="50" t="s">
        <v>27</v>
      </c>
      <c r="C12" s="126">
        <v>11</v>
      </c>
      <c r="D12" s="126">
        <f>IF(I12-C12&gt;12,12,I12-C12)</f>
        <v>12</v>
      </c>
      <c r="E12" s="126">
        <f>IF(I12-C12-D12&gt;12,12,I12-C12-D12)</f>
        <v>12</v>
      </c>
      <c r="F12" s="51">
        <f>IF(I12-C12-D12-E12&gt;12,12,I12-C12-D12-E12)</f>
        <v>1</v>
      </c>
      <c r="G12" s="52"/>
      <c r="H12" s="52"/>
      <c r="I12" s="47">
        <f>C7</f>
        <v>36</v>
      </c>
      <c r="J12" s="53" t="s">
        <v>28</v>
      </c>
    </row>
    <row r="13" spans="1:10" ht="27" customHeight="1">
      <c r="A13" s="49"/>
      <c r="B13" s="47" t="s">
        <v>74</v>
      </c>
      <c r="C13" s="127"/>
      <c r="D13" s="127"/>
      <c r="E13" s="127"/>
      <c r="F13" s="54">
        <v>3</v>
      </c>
      <c r="G13" s="52"/>
      <c r="H13" s="52"/>
      <c r="I13" s="47"/>
      <c r="J13" s="128" t="s">
        <v>75</v>
      </c>
    </row>
    <row r="14" spans="1:10" ht="12.75" customHeight="1">
      <c r="A14" s="194" t="s">
        <v>62</v>
      </c>
      <c r="B14" s="195"/>
      <c r="C14" s="195"/>
      <c r="D14" s="129"/>
      <c r="E14" s="129"/>
      <c r="F14" s="56"/>
      <c r="G14" s="56"/>
      <c r="H14" s="56"/>
      <c r="I14" s="57"/>
      <c r="J14" s="58"/>
    </row>
    <row r="15" spans="1:10" ht="12.75" customHeight="1">
      <c r="A15" s="59"/>
      <c r="B15" s="60" t="s">
        <v>30</v>
      </c>
      <c r="C15" s="130">
        <v>1000</v>
      </c>
      <c r="D15" s="130">
        <v>1000</v>
      </c>
      <c r="E15" s="130">
        <v>1000</v>
      </c>
      <c r="F15" s="130">
        <v>1000</v>
      </c>
      <c r="G15" s="62"/>
      <c r="H15" s="62"/>
      <c r="I15" s="60">
        <f>SUM(C15:F15)</f>
        <v>4000</v>
      </c>
      <c r="J15" s="131" t="s">
        <v>77</v>
      </c>
    </row>
    <row r="16" spans="1:10" ht="12.75" customHeight="1">
      <c r="A16" s="59"/>
      <c r="B16" s="64" t="s">
        <v>31</v>
      </c>
      <c r="C16" s="132">
        <f>C29-C15</f>
        <v>83935.63999999998</v>
      </c>
      <c r="D16" s="132">
        <f>D29-D15</f>
        <v>31767.92</v>
      </c>
      <c r="E16" s="132">
        <f>E29-E15</f>
        <v>31767.92</v>
      </c>
      <c r="F16" s="132">
        <f>F29-F15</f>
        <v>41536.28</v>
      </c>
      <c r="G16" s="66"/>
      <c r="H16" s="66"/>
      <c r="I16" s="64"/>
      <c r="J16" s="67" t="s">
        <v>64</v>
      </c>
    </row>
    <row r="17" spans="1:10" ht="57.75" customHeight="1">
      <c r="A17" s="68"/>
      <c r="B17" s="69" t="s">
        <v>66</v>
      </c>
      <c r="C17" s="133">
        <f>C16</f>
        <v>83935.63999999998</v>
      </c>
      <c r="D17" s="134">
        <f>C16+D16+C30</f>
        <v>116472.97003333332</v>
      </c>
      <c r="E17" s="134">
        <f>E16+C24</f>
        <v>67767.92</v>
      </c>
      <c r="F17" s="134">
        <f>F16+C24</f>
        <v>77536.28</v>
      </c>
      <c r="G17" s="134"/>
      <c r="H17" s="134"/>
      <c r="I17" s="72"/>
      <c r="J17" s="73" t="s">
        <v>123</v>
      </c>
    </row>
    <row r="18" spans="1:10" ht="12.75" customHeight="1">
      <c r="A18" s="192" t="s">
        <v>69</v>
      </c>
      <c r="B18" s="193"/>
      <c r="C18" s="193"/>
      <c r="D18" s="74"/>
      <c r="E18" s="74"/>
      <c r="F18" s="74"/>
      <c r="G18" s="74"/>
      <c r="H18" s="74"/>
      <c r="I18" s="75"/>
      <c r="J18" s="76"/>
    </row>
    <row r="19" spans="1:10" ht="12.75" customHeight="1">
      <c r="A19" s="77"/>
      <c r="B19" s="78" t="s">
        <v>5</v>
      </c>
      <c r="C19" s="79">
        <f>'前提条件'!F26</f>
        <v>16929</v>
      </c>
      <c r="D19" s="80"/>
      <c r="E19" s="79"/>
      <c r="F19" s="80"/>
      <c r="G19" s="81"/>
      <c r="H19" s="81"/>
      <c r="I19" s="82">
        <f aca="true" t="shared" si="0" ref="I19:I30">SUM(C19:F19)</f>
        <v>16929</v>
      </c>
      <c r="J19" s="83"/>
    </row>
    <row r="20" spans="1:10" ht="12.75" customHeight="1">
      <c r="A20" s="77"/>
      <c r="B20" s="148" t="s">
        <v>108</v>
      </c>
      <c r="C20" s="146">
        <f>'前提条件'!F28</f>
        <v>41.58</v>
      </c>
      <c r="D20" s="81"/>
      <c r="E20" s="146"/>
      <c r="F20" s="81"/>
      <c r="G20" s="81"/>
      <c r="H20" s="81"/>
      <c r="I20" s="82">
        <f t="shared" si="0"/>
        <v>41.58</v>
      </c>
      <c r="J20" s="147"/>
    </row>
    <row r="21" spans="1:10" ht="12.75" customHeight="1">
      <c r="A21" s="77"/>
      <c r="B21" s="84" t="s">
        <v>6</v>
      </c>
      <c r="C21" s="85">
        <f>'前提条件'!F27</f>
        <v>1890</v>
      </c>
      <c r="D21" s="82"/>
      <c r="E21" s="85"/>
      <c r="F21" s="82"/>
      <c r="G21" s="82"/>
      <c r="H21" s="82"/>
      <c r="I21" s="82">
        <f t="shared" si="0"/>
        <v>1890</v>
      </c>
      <c r="J21" s="86"/>
    </row>
    <row r="22" spans="1:10" ht="12.75" customHeight="1">
      <c r="A22" s="77"/>
      <c r="B22" s="84" t="s">
        <v>8</v>
      </c>
      <c r="C22" s="87">
        <f>('前提条件'!C11*'前提条件'!C12)*(C12-C13)/1000</f>
        <v>29700</v>
      </c>
      <c r="D22" s="87">
        <f>('前提条件'!C11*'前提条件'!C12)*(D12-D13)/1000</f>
        <v>32400</v>
      </c>
      <c r="E22" s="87">
        <f>('前提条件'!C11*'前提条件'!C12)*(E12-E13)/1000</f>
        <v>32400</v>
      </c>
      <c r="F22" s="89">
        <f>('前提条件'!C11*'前提条件'!C12)*(F12-F13)/1000</f>
        <v>-5400</v>
      </c>
      <c r="G22" s="87"/>
      <c r="H22" s="87"/>
      <c r="I22" s="82">
        <f t="shared" si="0"/>
        <v>89100</v>
      </c>
      <c r="J22" s="86"/>
    </row>
    <row r="23" spans="1:10" ht="12.75" customHeight="1">
      <c r="A23" s="77"/>
      <c r="B23" s="149" t="s">
        <v>112</v>
      </c>
      <c r="C23" s="87">
        <f>(40*420+420+32*420)*(C12-C13)/1000</f>
        <v>337.26</v>
      </c>
      <c r="D23" s="87">
        <f>(40*420+420+32*420)*(D12-D13)/1000</f>
        <v>367.92</v>
      </c>
      <c r="E23" s="87">
        <f>(40*420+420+32*420)*(E12-E13)/1000</f>
        <v>367.92</v>
      </c>
      <c r="F23" s="87">
        <f>(40*420+420+32*420)*(F12-F13)/1000</f>
        <v>-61.32</v>
      </c>
      <c r="G23" s="89"/>
      <c r="H23" s="89"/>
      <c r="I23" s="82">
        <f t="shared" si="0"/>
        <v>1011.7800000000001</v>
      </c>
      <c r="J23" s="86"/>
    </row>
    <row r="24" spans="1:10" ht="12.75" customHeight="1">
      <c r="A24" s="77"/>
      <c r="B24" s="84" t="s">
        <v>84</v>
      </c>
      <c r="C24" s="85">
        <f>'前提条件'!C12*'前提条件'!C15/1000</f>
        <v>36000</v>
      </c>
      <c r="D24" s="82"/>
      <c r="E24" s="85"/>
      <c r="F24" s="82"/>
      <c r="G24" s="82"/>
      <c r="H24" s="82"/>
      <c r="I24" s="82">
        <f t="shared" si="0"/>
        <v>36000</v>
      </c>
      <c r="J24" s="86"/>
    </row>
    <row r="25" spans="1:10" ht="12.75" customHeight="1">
      <c r="A25" s="77"/>
      <c r="B25" s="149" t="s">
        <v>104</v>
      </c>
      <c r="C25" s="85">
        <f>'前提条件'!F35</f>
        <v>18.9</v>
      </c>
      <c r="D25" s="82"/>
      <c r="E25" s="85"/>
      <c r="F25" s="82"/>
      <c r="G25" s="82"/>
      <c r="H25" s="82"/>
      <c r="I25" s="82">
        <f t="shared" si="0"/>
        <v>18.9</v>
      </c>
      <c r="J25" s="86"/>
    </row>
    <row r="26" spans="1:10" ht="12.75" customHeight="1">
      <c r="A26" s="77"/>
      <c r="B26" s="149" t="s">
        <v>116</v>
      </c>
      <c r="C26" s="85">
        <f>'金利計算'!C26</f>
        <v>18.9</v>
      </c>
      <c r="D26" s="82"/>
      <c r="E26" s="85"/>
      <c r="F26" s="82"/>
      <c r="G26" s="82"/>
      <c r="H26" s="82"/>
      <c r="I26" s="82">
        <f t="shared" si="0"/>
        <v>18.9</v>
      </c>
      <c r="J26" s="86"/>
    </row>
    <row r="27" spans="1:10" ht="12.75" customHeight="1">
      <c r="A27" s="77"/>
      <c r="B27" s="88" t="s">
        <v>61</v>
      </c>
      <c r="C27" s="85"/>
      <c r="D27" s="82"/>
      <c r="E27" s="152"/>
      <c r="F27" s="89">
        <f>'前提条件'!F36</f>
        <v>47880</v>
      </c>
      <c r="G27" s="89"/>
      <c r="H27" s="89"/>
      <c r="I27" s="82">
        <f t="shared" si="0"/>
        <v>47880</v>
      </c>
      <c r="J27" s="86" t="s">
        <v>124</v>
      </c>
    </row>
    <row r="28" spans="1:10" ht="12.75" customHeight="1">
      <c r="A28" s="77"/>
      <c r="B28" s="150" t="s">
        <v>109</v>
      </c>
      <c r="C28" s="85"/>
      <c r="D28" s="82"/>
      <c r="E28" s="152"/>
      <c r="F28" s="89">
        <f>'前提条件'!F37</f>
        <v>117.6</v>
      </c>
      <c r="G28" s="89"/>
      <c r="H28" s="89"/>
      <c r="I28" s="82">
        <f t="shared" si="0"/>
        <v>117.6</v>
      </c>
      <c r="J28" s="86" t="s">
        <v>124</v>
      </c>
    </row>
    <row r="29" spans="1:10" ht="12.75" customHeight="1" thickBot="1">
      <c r="A29" s="77"/>
      <c r="B29" s="90" t="s">
        <v>20</v>
      </c>
      <c r="C29" s="85">
        <f>SUM(C19:C28)</f>
        <v>84935.63999999998</v>
      </c>
      <c r="D29" s="85">
        <f>SUM(D19:D28)</f>
        <v>32767.92</v>
      </c>
      <c r="E29" s="85">
        <f>SUM(E19:E28)</f>
        <v>32767.92</v>
      </c>
      <c r="F29" s="85">
        <f>SUM(F19:F28)</f>
        <v>42536.28</v>
      </c>
      <c r="G29" s="82"/>
      <c r="H29" s="82"/>
      <c r="I29" s="135">
        <f t="shared" si="0"/>
        <v>193007.75999999998</v>
      </c>
      <c r="J29" s="86"/>
    </row>
    <row r="30" spans="1:10" ht="12.75" customHeight="1" thickBot="1">
      <c r="A30" s="91"/>
      <c r="B30" s="92" t="s">
        <v>19</v>
      </c>
      <c r="C30" s="93">
        <f>C17*$C$6*(C12)/12</f>
        <v>769.4100333333332</v>
      </c>
      <c r="D30" s="93">
        <f>D17*$C$6*(D12)/12</f>
        <v>1164.729700333333</v>
      </c>
      <c r="E30" s="93">
        <f>E17*$C$6*(E12)/12</f>
        <v>677.6792</v>
      </c>
      <c r="F30" s="151">
        <f>F17*$C$6*(F12)/12</f>
        <v>64.61356666666667</v>
      </c>
      <c r="G30" s="93"/>
      <c r="H30" s="136"/>
      <c r="I30" s="137">
        <f t="shared" si="0"/>
        <v>2676.4325003333333</v>
      </c>
      <c r="J30" s="95" t="s">
        <v>70</v>
      </c>
    </row>
    <row r="31" spans="1:10" ht="8.25" customHeight="1">
      <c r="A31" s="96"/>
      <c r="B31" s="97"/>
      <c r="C31" s="98"/>
      <c r="D31" s="99"/>
      <c r="E31" s="99"/>
      <c r="F31" s="99"/>
      <c r="G31" s="99"/>
      <c r="H31" s="99"/>
      <c r="J31" s="100"/>
    </row>
    <row r="32" spans="1:10" ht="12.75" customHeight="1">
      <c r="A32" s="96"/>
      <c r="B32" s="101" t="s">
        <v>34</v>
      </c>
      <c r="C32" s="183">
        <f>C30+D30</f>
        <v>1934.1397336666664</v>
      </c>
      <c r="D32" s="183"/>
      <c r="E32" s="102">
        <f>E30</f>
        <v>677.6792</v>
      </c>
      <c r="F32" s="102">
        <f>F30</f>
        <v>64.61356666666667</v>
      </c>
      <c r="G32" s="99"/>
      <c r="H32" s="99"/>
      <c r="I32" s="98"/>
      <c r="J32" s="138"/>
    </row>
    <row r="33" spans="1:10" ht="12.75" customHeight="1">
      <c r="A33" s="100"/>
      <c r="B33" s="97"/>
      <c r="C33" s="99"/>
      <c r="D33" s="99"/>
      <c r="E33" s="99"/>
      <c r="F33" s="99"/>
      <c r="G33" s="99"/>
      <c r="H33" s="99"/>
      <c r="I33" s="98"/>
      <c r="J33" s="100"/>
    </row>
    <row r="34" spans="1:10" ht="12.75" customHeight="1">
      <c r="A34" s="45" t="s">
        <v>60</v>
      </c>
      <c r="B34" s="97"/>
      <c r="C34" s="99"/>
      <c r="D34" s="99"/>
      <c r="E34" s="99"/>
      <c r="F34" s="99"/>
      <c r="G34" s="99"/>
      <c r="H34" s="99"/>
      <c r="I34" s="98"/>
      <c r="J34" s="100"/>
    </row>
    <row r="35" spans="1:10" ht="20.25" customHeight="1">
      <c r="A35" s="187" t="s">
        <v>71</v>
      </c>
      <c r="B35" s="188"/>
      <c r="C35" s="125" t="s">
        <v>118</v>
      </c>
      <c r="D35" s="125" t="s">
        <v>119</v>
      </c>
      <c r="E35" s="125" t="s">
        <v>35</v>
      </c>
      <c r="F35" s="125" t="s">
        <v>36</v>
      </c>
      <c r="G35" s="125" t="s">
        <v>120</v>
      </c>
      <c r="H35" s="125" t="s">
        <v>121</v>
      </c>
      <c r="I35" s="47" t="s">
        <v>18</v>
      </c>
      <c r="J35" s="48" t="s">
        <v>17</v>
      </c>
    </row>
    <row r="36" spans="1:10" ht="12.75" customHeight="1">
      <c r="A36" s="49"/>
      <c r="B36" s="50" t="s">
        <v>27</v>
      </c>
      <c r="C36" s="139"/>
      <c r="D36" s="139"/>
      <c r="E36" s="139"/>
      <c r="F36" s="54"/>
      <c r="G36" s="54"/>
      <c r="H36" s="54">
        <v>5</v>
      </c>
      <c r="I36" s="47">
        <f>SUM(F36:H36)</f>
        <v>5</v>
      </c>
      <c r="J36" s="53" t="s">
        <v>76</v>
      </c>
    </row>
    <row r="37" spans="1:10" ht="12.75" customHeight="1">
      <c r="A37" s="49"/>
      <c r="B37" s="103"/>
      <c r="C37" s="140"/>
      <c r="D37" s="141"/>
      <c r="E37" s="141"/>
      <c r="F37" s="105"/>
      <c r="G37" s="105"/>
      <c r="H37" s="106"/>
      <c r="I37" s="107"/>
      <c r="J37" s="53"/>
    </row>
    <row r="38" spans="1:10" ht="12.75" customHeight="1">
      <c r="A38" s="194" t="s">
        <v>62</v>
      </c>
      <c r="B38" s="195"/>
      <c r="C38" s="195"/>
      <c r="D38" s="129"/>
      <c r="E38" s="129"/>
      <c r="F38" s="56"/>
      <c r="G38" s="56"/>
      <c r="H38" s="56"/>
      <c r="I38" s="57"/>
      <c r="J38" s="58"/>
    </row>
    <row r="39" spans="1:10" ht="12.75" customHeight="1">
      <c r="A39" s="68"/>
      <c r="B39" s="108" t="s">
        <v>30</v>
      </c>
      <c r="C39" s="142"/>
      <c r="D39" s="143"/>
      <c r="E39" s="143"/>
      <c r="F39" s="144"/>
      <c r="G39" s="144"/>
      <c r="H39" s="144">
        <v>1000</v>
      </c>
      <c r="I39" s="60">
        <f>SUM(C39:H39)</f>
        <v>1000</v>
      </c>
      <c r="J39" s="131" t="s">
        <v>77</v>
      </c>
    </row>
    <row r="40" spans="1:10" ht="12.75" customHeight="1">
      <c r="A40" s="111"/>
      <c r="B40" s="99" t="s">
        <v>31</v>
      </c>
      <c r="C40" s="134"/>
      <c r="D40" s="134"/>
      <c r="E40" s="134"/>
      <c r="F40" s="134">
        <f>F44-F39</f>
        <v>0</v>
      </c>
      <c r="G40" s="134">
        <f>G44-G39</f>
        <v>0</v>
      </c>
      <c r="H40" s="134">
        <f>H44-H39</f>
        <v>28141.4</v>
      </c>
      <c r="I40" s="72">
        <f>SUM(C40:H40)</f>
        <v>28141.4</v>
      </c>
      <c r="J40" s="112" t="s">
        <v>64</v>
      </c>
    </row>
    <row r="41" spans="1:10" ht="12.75" customHeight="1">
      <c r="A41" s="192" t="s">
        <v>72</v>
      </c>
      <c r="B41" s="193"/>
      <c r="C41" s="193"/>
      <c r="D41" s="113"/>
      <c r="E41" s="113"/>
      <c r="F41" s="113"/>
      <c r="G41" s="113"/>
      <c r="H41" s="113"/>
      <c r="I41" s="75"/>
      <c r="J41" s="76"/>
    </row>
    <row r="42" spans="1:10" ht="12.75" customHeight="1">
      <c r="A42" s="77"/>
      <c r="B42" s="78" t="s">
        <v>65</v>
      </c>
      <c r="C42" s="79"/>
      <c r="D42" s="80"/>
      <c r="E42" s="114"/>
      <c r="F42" s="115"/>
      <c r="G42" s="116"/>
      <c r="H42" s="116">
        <f>'前提条件'!F38</f>
        <v>29070</v>
      </c>
      <c r="I42" s="81">
        <f>SUM(C42:H42)</f>
        <v>29070</v>
      </c>
      <c r="J42" s="86" t="s">
        <v>125</v>
      </c>
    </row>
    <row r="43" spans="1:10" ht="12.75" customHeight="1">
      <c r="A43" s="77"/>
      <c r="B43" s="150" t="s">
        <v>109</v>
      </c>
      <c r="C43" s="146"/>
      <c r="D43" s="81"/>
      <c r="E43" s="33"/>
      <c r="F43" s="153"/>
      <c r="G43" s="154"/>
      <c r="H43" s="154">
        <f>'前提条件'!F39</f>
        <v>71.4</v>
      </c>
      <c r="I43" s="82">
        <f>SUM(C43:H43)</f>
        <v>71.4</v>
      </c>
      <c r="J43" s="86" t="s">
        <v>126</v>
      </c>
    </row>
    <row r="44" spans="1:10" ht="12.75" customHeight="1">
      <c r="A44" s="77"/>
      <c r="B44" s="90" t="s">
        <v>20</v>
      </c>
      <c r="C44" s="85"/>
      <c r="D44" s="85"/>
      <c r="E44" s="85"/>
      <c r="F44" s="85">
        <f>SUM(F42:F43)</f>
        <v>0</v>
      </c>
      <c r="G44" s="85">
        <f>SUM(G42:G43)</f>
        <v>0</v>
      </c>
      <c r="H44" s="85">
        <f>SUM(H42:H43)</f>
        <v>29141.4</v>
      </c>
      <c r="I44" s="82">
        <f>SUM(C44:H44)</f>
        <v>29141.4</v>
      </c>
      <c r="J44" s="86"/>
    </row>
    <row r="45" spans="1:10" ht="12.75" customHeight="1">
      <c r="A45" s="91"/>
      <c r="B45" s="92" t="s">
        <v>19</v>
      </c>
      <c r="C45" s="117"/>
      <c r="D45" s="93"/>
      <c r="E45" s="93"/>
      <c r="F45" s="93">
        <f>F40*C6*F36/12</f>
        <v>0</v>
      </c>
      <c r="G45" s="93">
        <f>G40*C6*G36/12</f>
        <v>0</v>
      </c>
      <c r="H45" s="93">
        <f>H40*C6*H36/12</f>
        <v>117.25583333333334</v>
      </c>
      <c r="I45" s="94">
        <f>SUM(C45:H45)</f>
        <v>117.25583333333334</v>
      </c>
      <c r="J45" s="95" t="s">
        <v>32</v>
      </c>
    </row>
    <row r="46" spans="1:10" ht="8.25" customHeight="1">
      <c r="A46" s="96"/>
      <c r="B46" s="97"/>
      <c r="C46" s="98"/>
      <c r="D46" s="99"/>
      <c r="E46" s="99"/>
      <c r="F46" s="99"/>
      <c r="G46" s="99"/>
      <c r="H46" s="99"/>
      <c r="I46" s="98"/>
      <c r="J46" s="100"/>
    </row>
    <row r="47" spans="1:10" ht="12.75" customHeight="1">
      <c r="A47" s="96"/>
      <c r="B47" s="101" t="s">
        <v>73</v>
      </c>
      <c r="C47" s="199"/>
      <c r="D47" s="199"/>
      <c r="E47" s="99"/>
      <c r="F47" s="99"/>
      <c r="G47" s="99"/>
      <c r="H47" s="102">
        <f>H45</f>
        <v>117.25583333333334</v>
      </c>
      <c r="I47" s="98"/>
      <c r="J47" s="100"/>
    </row>
    <row r="48" spans="1:10" ht="15" customHeight="1">
      <c r="A48" s="33"/>
      <c r="B48" s="33"/>
      <c r="C48" s="118"/>
      <c r="D48" s="118"/>
      <c r="E48" s="118"/>
      <c r="F48" s="118"/>
      <c r="G48" s="118"/>
      <c r="H48" s="118"/>
      <c r="I48" s="99"/>
      <c r="J48" s="33"/>
    </row>
    <row r="49" spans="1:223" s="31" customFormat="1" ht="12">
      <c r="A49" s="32"/>
      <c r="B49" s="32"/>
      <c r="C49" s="33"/>
      <c r="D49" s="33"/>
      <c r="E49" s="33"/>
      <c r="F49" s="33"/>
      <c r="G49" s="33"/>
      <c r="H49" s="33"/>
      <c r="I49" s="145"/>
      <c r="J49" s="32"/>
      <c r="HO49" s="29"/>
    </row>
    <row r="50" spans="1:223" s="31" customFormat="1" ht="12">
      <c r="A50" s="33"/>
      <c r="B50" s="32"/>
      <c r="C50" s="32"/>
      <c r="D50" s="32"/>
      <c r="E50" s="32"/>
      <c r="F50" s="32"/>
      <c r="G50" s="32"/>
      <c r="H50" s="32"/>
      <c r="I50" s="46"/>
      <c r="J50" s="32"/>
      <c r="HO50" s="29"/>
    </row>
    <row r="51" spans="1:223" s="31" customFormat="1" ht="12">
      <c r="A51" s="33"/>
      <c r="B51" s="32"/>
      <c r="C51" s="32"/>
      <c r="D51" s="32"/>
      <c r="E51" s="32"/>
      <c r="F51" s="32"/>
      <c r="G51" s="32"/>
      <c r="H51" s="32"/>
      <c r="I51" s="46"/>
      <c r="J51" s="32"/>
      <c r="HO51" s="29"/>
    </row>
    <row r="52" spans="1:223" s="31" customFormat="1" ht="12">
      <c r="A52" s="33"/>
      <c r="B52" s="32"/>
      <c r="C52" s="32"/>
      <c r="D52" s="32"/>
      <c r="E52" s="32"/>
      <c r="F52" s="32"/>
      <c r="G52" s="32"/>
      <c r="H52" s="32"/>
      <c r="I52" s="46"/>
      <c r="J52" s="32"/>
      <c r="HO52" s="29"/>
    </row>
    <row r="53" spans="1:223" s="31" customFormat="1" ht="12">
      <c r="A53" s="33"/>
      <c r="B53" s="32"/>
      <c r="C53" s="32"/>
      <c r="D53" s="32"/>
      <c r="E53" s="32"/>
      <c r="F53" s="32"/>
      <c r="G53" s="32"/>
      <c r="H53" s="32"/>
      <c r="I53" s="46"/>
      <c r="J53" s="32"/>
      <c r="HO53" s="29"/>
    </row>
    <row r="54" spans="1:223" s="31" customFormat="1" ht="12">
      <c r="A54" s="32"/>
      <c r="B54" s="32"/>
      <c r="C54" s="32"/>
      <c r="D54" s="32"/>
      <c r="E54" s="32"/>
      <c r="F54" s="32"/>
      <c r="G54" s="32"/>
      <c r="H54" s="32"/>
      <c r="I54" s="46"/>
      <c r="J54" s="32"/>
      <c r="HO54" s="29"/>
    </row>
  </sheetData>
  <mergeCells count="13">
    <mergeCell ref="C32:D32"/>
    <mergeCell ref="A3:B3"/>
    <mergeCell ref="A6:B6"/>
    <mergeCell ref="A11:B11"/>
    <mergeCell ref="C6:E6"/>
    <mergeCell ref="A18:C18"/>
    <mergeCell ref="A14:C14"/>
    <mergeCell ref="A7:B7"/>
    <mergeCell ref="C7:E7"/>
    <mergeCell ref="A35:B35"/>
    <mergeCell ref="A38:C38"/>
    <mergeCell ref="A41:C41"/>
    <mergeCell ref="C47:D47"/>
  </mergeCells>
  <printOptions/>
  <pageMargins left="0.7874015748031497" right="0.7874015748031497" top="0.5905511811023623" bottom="0.47" header="0" footer="0"/>
  <pageSetup horizontalDpi="600" verticalDpi="600" orientation="landscape" paperSize="9" scale="79" r:id="rId2"/>
  <rowBreaks count="1" manualBreakCount="1">
    <brk id="5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2008-09-04T00:45:18Z</cp:lastPrinted>
  <dcterms:created xsi:type="dcterms:W3CDTF">2005-06-22T08:48:21Z</dcterms:created>
  <dcterms:modified xsi:type="dcterms:W3CDTF">2008-09-04T05:43:13Z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  <property fmtid="{D5CDD505-2E9C-101B-9397-08002B2CF9AE}" pid="7" name="_ReviewingToolsShownOnce">
    <vt:lpwstr/>
  </property>
</Properties>
</file>