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207.201\学校総務サービス課\002_調整グループ\B_退職手当\【31失業者】\【32雇用保険の追加給付に伴う対応】\14 HP用\"/>
    </mc:Choice>
  </mc:AlternateContent>
  <workbookProtection workbookAlgorithmName="SHA-512" workbookHashValue="eVuWQKb0XeqmrKOF+fR/4fuYtVCFmfWT15rWbC61Y1wZn1/eGW05G9SdSdbXX01Tn/nxXj2n5DjKnqURU4n+NQ==" workbookSaltValue="B6Kj3XDjjd7+NmJfn2B6hQ==" workbookSpinCount="100000" lockStructure="1"/>
  <bookViews>
    <workbookView xWindow="0" yWindow="0" windowWidth="20490" windowHeight="7680"/>
  </bookViews>
  <sheets>
    <sheet name="入力画面" sheetId="3" r:id="rId1"/>
    <sheet name="計算用" sheetId="22" state="hidden" r:id="rId2"/>
    <sheet name="H30.8.1~" sheetId="1" state="hidden" r:id="rId3"/>
    <sheet name="H29.8.1～" sheetId="5" state="hidden" r:id="rId4"/>
    <sheet name="H28.8.1～" sheetId="8" state="hidden" r:id="rId5"/>
    <sheet name="H27.8.1～ " sheetId="9" state="hidden" r:id="rId6"/>
    <sheet name="H26.8.1～ " sheetId="10" state="hidden" r:id="rId7"/>
    <sheet name="H25.8.1～" sheetId="11" state="hidden" r:id="rId8"/>
    <sheet name="H24.8.1～" sheetId="13" state="hidden" r:id="rId9"/>
    <sheet name="H23.8.1～" sheetId="14" state="hidden" r:id="rId10"/>
    <sheet name="H22.8.1～" sheetId="15" state="hidden" r:id="rId11"/>
    <sheet name="H21.8.1～" sheetId="16" state="hidden" r:id="rId12"/>
    <sheet name="H20.8.1～" sheetId="17" state="hidden" r:id="rId13"/>
    <sheet name="H19.8.1～" sheetId="18" state="hidden" r:id="rId14"/>
    <sheet name="H18.8.1～" sheetId="19" state="hidden" r:id="rId15"/>
    <sheet name="H17.8.1～" sheetId="20" state="hidden" r:id="rId16"/>
    <sheet name="H16.8.1～" sheetId="21" state="hidden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1" l="1"/>
  <c r="P14" i="21"/>
  <c r="P20" i="21" l="1"/>
  <c r="P27" i="21"/>
  <c r="D71" i="22" l="1"/>
  <c r="D67" i="22"/>
  <c r="D63" i="22"/>
  <c r="D59" i="22"/>
  <c r="F71" i="22"/>
  <c r="F67" i="22"/>
  <c r="F63" i="22"/>
  <c r="F59" i="22"/>
  <c r="H71" i="22" l="1"/>
  <c r="H67" i="22"/>
  <c r="H63" i="22"/>
  <c r="H59" i="22"/>
  <c r="J71" i="22"/>
  <c r="J67" i="22"/>
  <c r="J63" i="22"/>
  <c r="J59" i="22"/>
  <c r="L71" i="22"/>
  <c r="L67" i="22"/>
  <c r="L63" i="22"/>
  <c r="L59" i="22"/>
  <c r="N71" i="22"/>
  <c r="N67" i="22"/>
  <c r="N63" i="22"/>
  <c r="N59" i="22"/>
  <c r="P71" i="22"/>
  <c r="P67" i="22"/>
  <c r="P63" i="22"/>
  <c r="P59" i="22"/>
  <c r="R71" i="22"/>
  <c r="R67" i="22"/>
  <c r="R63" i="22"/>
  <c r="R59" i="22"/>
  <c r="T71" i="22"/>
  <c r="T67" i="22"/>
  <c r="T63" i="22"/>
  <c r="T59" i="22"/>
  <c r="V71" i="22"/>
  <c r="V67" i="22"/>
  <c r="V63" i="22"/>
  <c r="V59" i="22"/>
  <c r="X71" i="22"/>
  <c r="X67" i="22"/>
  <c r="X63" i="22"/>
  <c r="X59" i="22"/>
  <c r="Z71" i="22"/>
  <c r="Z67" i="22"/>
  <c r="Z63" i="22"/>
  <c r="Z59" i="22"/>
  <c r="AD71" i="22"/>
  <c r="AD67" i="22"/>
  <c r="AD63" i="22"/>
  <c r="AD59" i="22"/>
  <c r="D51" i="22"/>
  <c r="D47" i="22"/>
  <c r="D43" i="22"/>
  <c r="D39" i="22"/>
  <c r="F51" i="22"/>
  <c r="F47" i="22"/>
  <c r="F43" i="22"/>
  <c r="F39" i="22"/>
  <c r="H51" i="22" l="1"/>
  <c r="H47" i="22"/>
  <c r="H43" i="22"/>
  <c r="H39" i="22"/>
  <c r="J51" i="22"/>
  <c r="J47" i="22"/>
  <c r="J43" i="22"/>
  <c r="J39" i="22"/>
  <c r="L51" i="22"/>
  <c r="L47" i="22"/>
  <c r="L43" i="22"/>
  <c r="L39" i="22"/>
  <c r="N51" i="22"/>
  <c r="N47" i="22"/>
  <c r="N43" i="22"/>
  <c r="N39" i="22"/>
  <c r="P51" i="22"/>
  <c r="P47" i="22"/>
  <c r="P43" i="22"/>
  <c r="P39" i="22"/>
  <c r="R51" i="22"/>
  <c r="R47" i="22"/>
  <c r="R43" i="22"/>
  <c r="R39" i="22"/>
  <c r="T51" i="22"/>
  <c r="T47" i="22"/>
  <c r="T43" i="22"/>
  <c r="T39" i="22"/>
  <c r="V51" i="22"/>
  <c r="V47" i="22"/>
  <c r="V43" i="22"/>
  <c r="V39" i="22"/>
  <c r="J7" i="22"/>
  <c r="L5" i="22"/>
  <c r="L4" i="22"/>
  <c r="J3" i="22"/>
  <c r="J5" i="22" s="1"/>
  <c r="J2" i="22"/>
  <c r="X51" i="22"/>
  <c r="X47" i="22"/>
  <c r="X43" i="22"/>
  <c r="X39" i="22"/>
  <c r="Z51" i="22"/>
  <c r="Z47" i="22"/>
  <c r="Z43" i="22"/>
  <c r="Z39" i="22"/>
  <c r="AD51" i="22"/>
  <c r="AD47" i="22"/>
  <c r="AD43" i="22"/>
  <c r="AD39" i="22"/>
  <c r="O2" i="22"/>
  <c r="J6" i="22" l="1"/>
  <c r="J4" i="22"/>
  <c r="A70" i="22"/>
  <c r="A66" i="22"/>
  <c r="A62" i="22"/>
  <c r="A58" i="22"/>
  <c r="A64" i="22"/>
  <c r="A60" i="22"/>
  <c r="A71" i="22"/>
  <c r="A63" i="22"/>
  <c r="A69" i="22"/>
  <c r="A65" i="22"/>
  <c r="A61" i="22"/>
  <c r="A57" i="22"/>
  <c r="A68" i="22"/>
  <c r="A56" i="22"/>
  <c r="A67" i="22"/>
  <c r="A59" i="22"/>
  <c r="G20" i="14"/>
  <c r="P14" i="13"/>
  <c r="P20" i="11" l="1"/>
  <c r="L2" i="22" l="1"/>
  <c r="L3" i="22"/>
  <c r="O3" i="22"/>
  <c r="M3" i="22"/>
  <c r="A37" i="22"/>
  <c r="A36" i="22"/>
  <c r="A46" i="22"/>
  <c r="AC69" i="22" l="1"/>
  <c r="I69" i="22"/>
  <c r="K68" i="22"/>
  <c r="S66" i="22"/>
  <c r="K65" i="22"/>
  <c r="K64" i="22"/>
  <c r="K63" i="22"/>
  <c r="AC61" i="22"/>
  <c r="I61" i="22"/>
  <c r="I60" i="22"/>
  <c r="E58" i="22"/>
  <c r="K57" i="22"/>
  <c r="K56" i="22"/>
  <c r="W46" i="22"/>
  <c r="AA37" i="22"/>
  <c r="G37" i="22"/>
  <c r="I36" i="22"/>
  <c r="AE70" i="22"/>
  <c r="S69" i="22"/>
  <c r="G69" i="22"/>
  <c r="I68" i="22"/>
  <c r="AC65" i="22"/>
  <c r="I65" i="22"/>
  <c r="Q62" i="22"/>
  <c r="S61" i="22"/>
  <c r="E61" i="22"/>
  <c r="G60" i="22"/>
  <c r="I57" i="22"/>
  <c r="I56" i="22"/>
  <c r="S46" i="22"/>
  <c r="S37" i="22"/>
  <c r="E37" i="22"/>
  <c r="AC37" i="22"/>
  <c r="K37" i="22"/>
  <c r="K36" i="22"/>
  <c r="I64" i="22"/>
  <c r="AC57" i="22"/>
  <c r="E36" i="22"/>
  <c r="U70" i="22"/>
  <c r="M69" i="22"/>
  <c r="E69" i="22"/>
  <c r="G68" i="22"/>
  <c r="S65" i="22"/>
  <c r="E65" i="22"/>
  <c r="G64" i="22"/>
  <c r="K62" i="22"/>
  <c r="M61" i="22"/>
  <c r="M60" i="22"/>
  <c r="E60" i="22"/>
  <c r="S57" i="22"/>
  <c r="E57" i="22"/>
  <c r="G56" i="22"/>
  <c r="M37" i="22"/>
  <c r="M36" i="22"/>
  <c r="O70" i="22"/>
  <c r="K69" i="22"/>
  <c r="M68" i="22"/>
  <c r="E68" i="22"/>
  <c r="M65" i="22"/>
  <c r="M64" i="22"/>
  <c r="E64" i="22"/>
  <c r="I62" i="22"/>
  <c r="K61" i="22"/>
  <c r="K60" i="22"/>
  <c r="AA58" i="22"/>
  <c r="M57" i="22"/>
  <c r="M56" i="22"/>
  <c r="E56" i="22"/>
  <c r="C59" i="22"/>
  <c r="U59" i="22"/>
  <c r="Q59" i="22"/>
  <c r="E63" i="22"/>
  <c r="I63" i="22"/>
  <c r="C58" i="22"/>
  <c r="K58" i="22"/>
  <c r="S58" i="22"/>
  <c r="U61" i="22"/>
  <c r="C71" i="22"/>
  <c r="W71" i="22"/>
  <c r="K71" i="22"/>
  <c r="E62" i="22"/>
  <c r="U62" i="22"/>
  <c r="M62" i="22"/>
  <c r="C56" i="22"/>
  <c r="O56" i="22"/>
  <c r="W56" i="22"/>
  <c r="Q65" i="22"/>
  <c r="W60" i="22"/>
  <c r="C66" i="22"/>
  <c r="M66" i="22"/>
  <c r="W66" i="22"/>
  <c r="G57" i="22"/>
  <c r="U57" i="22"/>
  <c r="O67" i="22"/>
  <c r="Q67" i="22"/>
  <c r="U68" i="22"/>
  <c r="S68" i="22"/>
  <c r="O69" i="22"/>
  <c r="Q69" i="22"/>
  <c r="C64" i="22"/>
  <c r="W64" i="22"/>
  <c r="Q64" i="22"/>
  <c r="I70" i="22"/>
  <c r="W70" i="22"/>
  <c r="U60" i="22"/>
  <c r="S67" i="22"/>
  <c r="C69" i="22"/>
  <c r="O64" i="22"/>
  <c r="G70" i="22"/>
  <c r="E59" i="22"/>
  <c r="W59" i="22"/>
  <c r="M59" i="22"/>
  <c r="G63" i="22"/>
  <c r="M63" i="22"/>
  <c r="Q63" i="22"/>
  <c r="I58" i="22"/>
  <c r="O58" i="22"/>
  <c r="C61" i="22"/>
  <c r="E71" i="22"/>
  <c r="I71" i="22"/>
  <c r="S71" i="22"/>
  <c r="G62" i="22"/>
  <c r="S62" i="22"/>
  <c r="C65" i="22"/>
  <c r="O65" i="22"/>
  <c r="Q60" i="22"/>
  <c r="E66" i="22"/>
  <c r="U66" i="22"/>
  <c r="Q57" i="22"/>
  <c r="C67" i="22"/>
  <c r="W67" i="22"/>
  <c r="M67" i="22"/>
  <c r="O68" i="22"/>
  <c r="W69" i="22"/>
  <c r="C70" i="22"/>
  <c r="Q70" i="22"/>
  <c r="M70" i="22"/>
  <c r="I59" i="22"/>
  <c r="C63" i="22"/>
  <c r="S63" i="22"/>
  <c r="M58" i="22"/>
  <c r="G61" i="22"/>
  <c r="U71" i="22"/>
  <c r="Q66" i="22"/>
  <c r="O66" i="22"/>
  <c r="G67" i="22"/>
  <c r="K70" i="22"/>
  <c r="G59" i="22"/>
  <c r="S59" i="22"/>
  <c r="K59" i="22"/>
  <c r="O63" i="22"/>
  <c r="U63" i="22"/>
  <c r="Q58" i="22"/>
  <c r="W58" i="22"/>
  <c r="O61" i="22"/>
  <c r="Q61" i="22"/>
  <c r="G71" i="22"/>
  <c r="M71" i="22"/>
  <c r="Q71" i="22"/>
  <c r="O62" i="22"/>
  <c r="U56" i="22"/>
  <c r="S56" i="22"/>
  <c r="W65" i="22"/>
  <c r="C60" i="22"/>
  <c r="S60" i="22"/>
  <c r="O60" i="22"/>
  <c r="I66" i="22"/>
  <c r="K66" i="22"/>
  <c r="C57" i="22"/>
  <c r="O57" i="22"/>
  <c r="E67" i="22"/>
  <c r="K67" i="22"/>
  <c r="U67" i="22"/>
  <c r="C68" i="22"/>
  <c r="Q68" i="22"/>
  <c r="W68" i="22"/>
  <c r="U69" i="22"/>
  <c r="U64" i="22"/>
  <c r="S64" i="22"/>
  <c r="E70" i="22"/>
  <c r="S70" i="22"/>
  <c r="O59" i="22"/>
  <c r="W63" i="22"/>
  <c r="G58" i="22"/>
  <c r="U58" i="22"/>
  <c r="W61" i="22"/>
  <c r="O71" i="22"/>
  <c r="C62" i="22"/>
  <c r="W62" i="22"/>
  <c r="Q56" i="22"/>
  <c r="G65" i="22"/>
  <c r="U65" i="22"/>
  <c r="G66" i="22"/>
  <c r="W57" i="22"/>
  <c r="I67" i="22"/>
  <c r="Y71" i="22"/>
  <c r="Y67" i="22"/>
  <c r="Y63" i="22"/>
  <c r="Y59" i="22"/>
  <c r="AA71" i="22"/>
  <c r="AA67" i="22"/>
  <c r="AA63" i="22"/>
  <c r="AA59" i="22"/>
  <c r="AC71" i="22"/>
  <c r="AC67" i="22"/>
  <c r="AC63" i="22"/>
  <c r="AC59" i="22"/>
  <c r="AE61" i="22"/>
  <c r="AE57" i="22"/>
  <c r="AE66" i="22"/>
  <c r="AE62" i="22"/>
  <c r="Y70" i="22"/>
  <c r="Y66" i="22"/>
  <c r="Y62" i="22"/>
  <c r="Y58" i="22"/>
  <c r="AA70" i="22"/>
  <c r="AA66" i="22"/>
  <c r="AA62" i="22"/>
  <c r="AC70" i="22"/>
  <c r="AC66" i="22"/>
  <c r="AC62" i="22"/>
  <c r="AC58" i="22"/>
  <c r="AE60" i="22"/>
  <c r="AE56" i="22"/>
  <c r="AE69" i="22"/>
  <c r="AE65" i="22"/>
  <c r="C46" i="22"/>
  <c r="Y69" i="22"/>
  <c r="Y65" i="22"/>
  <c r="Y61" i="22"/>
  <c r="Y57" i="22"/>
  <c r="AA69" i="22"/>
  <c r="AA65" i="22"/>
  <c r="AA61" i="22"/>
  <c r="AA57" i="22"/>
  <c r="AE59" i="22"/>
  <c r="AE68" i="22"/>
  <c r="AE64" i="22"/>
  <c r="Y68" i="22"/>
  <c r="AA68" i="22"/>
  <c r="AC68" i="22"/>
  <c r="AE58" i="22"/>
  <c r="C37" i="22"/>
  <c r="Y64" i="22"/>
  <c r="AA64" i="22"/>
  <c r="AC64" i="22"/>
  <c r="AE71" i="22"/>
  <c r="G36" i="22"/>
  <c r="Y60" i="22"/>
  <c r="AA60" i="22"/>
  <c r="AE67" i="22"/>
  <c r="C36" i="22"/>
  <c r="AC60" i="22"/>
  <c r="Y56" i="22"/>
  <c r="AC56" i="22"/>
  <c r="AA56" i="22"/>
  <c r="E46" i="22"/>
  <c r="G46" i="22"/>
  <c r="AE63" i="22"/>
  <c r="I46" i="22"/>
  <c r="K46" i="22"/>
  <c r="I37" i="22"/>
  <c r="AC46" i="22"/>
  <c r="AC36" i="22"/>
  <c r="AA36" i="22"/>
  <c r="D1" i="18"/>
  <c r="D1" i="14"/>
  <c r="D1" i="9"/>
  <c r="D1" i="21"/>
  <c r="D1" i="17"/>
  <c r="D1" i="13"/>
  <c r="D1" i="8"/>
  <c r="M46" i="22"/>
  <c r="O46" i="22"/>
  <c r="D1" i="15"/>
  <c r="D1" i="10"/>
  <c r="O36" i="22"/>
  <c r="D1" i="20"/>
  <c r="D1" i="16"/>
  <c r="D1" i="11"/>
  <c r="D1" i="5"/>
  <c r="O37" i="22"/>
  <c r="D1" i="19"/>
  <c r="D1" i="1"/>
  <c r="Q37" i="22"/>
  <c r="U36" i="22"/>
  <c r="Q36" i="22"/>
  <c r="S36" i="22"/>
  <c r="U46" i="22"/>
  <c r="U37" i="22"/>
  <c r="Q46" i="22"/>
  <c r="Y46" i="22"/>
  <c r="W37" i="22"/>
  <c r="W36" i="22"/>
  <c r="Y36" i="22"/>
  <c r="Y37" i="22"/>
  <c r="AA46" i="22"/>
  <c r="A49" i="22"/>
  <c r="W49" i="22" s="1"/>
  <c r="A44" i="22"/>
  <c r="AE44" i="22" s="1"/>
  <c r="A51" i="22"/>
  <c r="W51" i="22" s="1"/>
  <c r="A45" i="22"/>
  <c r="M45" i="22" s="1"/>
  <c r="A47" i="22"/>
  <c r="AE47" i="22" s="1"/>
  <c r="A40" i="22"/>
  <c r="O40" i="22" s="1"/>
  <c r="A42" i="22"/>
  <c r="AE42" i="22" s="1"/>
  <c r="A38" i="22"/>
  <c r="AC38" i="22" s="1"/>
  <c r="AE46" i="22"/>
  <c r="A50" i="22"/>
  <c r="AE50" i="22" s="1"/>
  <c r="A48" i="22"/>
  <c r="O48" i="22" s="1"/>
  <c r="A43" i="22"/>
  <c r="M43" i="22" s="1"/>
  <c r="A41" i="22"/>
  <c r="AE41" i="22" s="1"/>
  <c r="A39" i="22"/>
  <c r="AA39" i="22" s="1"/>
  <c r="AE36" i="22"/>
  <c r="AE37" i="22"/>
  <c r="M2" i="22"/>
  <c r="M49" i="22" l="1"/>
  <c r="G42" i="22"/>
  <c r="E41" i="22"/>
  <c r="M48" i="22"/>
  <c r="G45" i="22"/>
  <c r="K41" i="22"/>
  <c r="S41" i="22"/>
  <c r="AA45" i="22"/>
  <c r="C40" i="22"/>
  <c r="G41" i="22"/>
  <c r="K45" i="22"/>
  <c r="O50" i="22"/>
  <c r="U40" i="22"/>
  <c r="I40" i="22"/>
  <c r="E40" i="22"/>
  <c r="AC41" i="22"/>
  <c r="K48" i="22"/>
  <c r="AE40" i="22"/>
  <c r="M44" i="22"/>
  <c r="AC49" i="22"/>
  <c r="C50" i="22"/>
  <c r="W40" i="22"/>
  <c r="M42" i="22"/>
  <c r="E48" i="22"/>
  <c r="K40" i="22"/>
  <c r="AA41" i="22"/>
  <c r="AC45" i="22"/>
  <c r="K44" i="22"/>
  <c r="Y40" i="22"/>
  <c r="M40" i="22"/>
  <c r="Y42" i="22"/>
  <c r="W50" i="22"/>
  <c r="G40" i="22"/>
  <c r="M41" i="22"/>
  <c r="S45" i="22"/>
  <c r="C51" i="22"/>
  <c r="AA40" i="22"/>
  <c r="I44" i="22"/>
  <c r="Q40" i="22"/>
  <c r="E44" i="22"/>
  <c r="K49" i="22"/>
  <c r="S40" i="22"/>
  <c r="Q42" i="22"/>
  <c r="I48" i="22"/>
  <c r="S49" i="22"/>
  <c r="AC40" i="22"/>
  <c r="K42" i="22"/>
  <c r="P6" i="21"/>
  <c r="D57" i="22" s="1"/>
  <c r="P12" i="21"/>
  <c r="G51" i="22"/>
  <c r="G48" i="22"/>
  <c r="E45" i="22"/>
  <c r="C49" i="22"/>
  <c r="C42" i="22"/>
  <c r="K43" i="22"/>
  <c r="I38" i="22"/>
  <c r="E43" i="22"/>
  <c r="I43" i="22"/>
  <c r="K38" i="22"/>
  <c r="I42" i="22"/>
  <c r="G38" i="22"/>
  <c r="C43" i="22"/>
  <c r="P18" i="21"/>
  <c r="D65" i="22" s="1"/>
  <c r="G18" i="21"/>
  <c r="P25" i="21"/>
  <c r="P24" i="21"/>
  <c r="P26" i="11"/>
  <c r="V70" i="22" s="1"/>
  <c r="P19" i="11"/>
  <c r="V66" i="22" s="1"/>
  <c r="G13" i="11"/>
  <c r="P17" i="11"/>
  <c r="V64" i="22" s="1"/>
  <c r="G11" i="11"/>
  <c r="P11" i="11"/>
  <c r="V60" i="22" s="1"/>
  <c r="P25" i="11"/>
  <c r="P13" i="11"/>
  <c r="V62" i="22" s="1"/>
  <c r="G7" i="11"/>
  <c r="P23" i="11"/>
  <c r="V68" i="22" s="1"/>
  <c r="G5" i="11"/>
  <c r="G25" i="11"/>
  <c r="G26" i="11"/>
  <c r="P7" i="11"/>
  <c r="V58" i="22" s="1"/>
  <c r="P5" i="11"/>
  <c r="V56" i="22" s="1"/>
  <c r="G23" i="11"/>
  <c r="G19" i="11"/>
  <c r="G17" i="11"/>
  <c r="P26" i="9"/>
  <c r="P19" i="9"/>
  <c r="P23" i="9"/>
  <c r="G23" i="9"/>
  <c r="G13" i="9"/>
  <c r="G25" i="9"/>
  <c r="P25" i="9"/>
  <c r="P13" i="9"/>
  <c r="P17" i="9"/>
  <c r="G17" i="9"/>
  <c r="G5" i="9"/>
  <c r="P5" i="9"/>
  <c r="G26" i="9"/>
  <c r="P7" i="9"/>
  <c r="P11" i="9"/>
  <c r="G7" i="9"/>
  <c r="G19" i="9"/>
  <c r="G11" i="9"/>
  <c r="P26" i="16"/>
  <c r="N70" i="22" s="1"/>
  <c r="P19" i="16"/>
  <c r="N66" i="22" s="1"/>
  <c r="G13" i="16"/>
  <c r="P11" i="16"/>
  <c r="N60" i="22" s="1"/>
  <c r="G11" i="16"/>
  <c r="P17" i="16"/>
  <c r="N64" i="22" s="1"/>
  <c r="P25" i="16"/>
  <c r="P13" i="16"/>
  <c r="N62" i="22" s="1"/>
  <c r="G7" i="16"/>
  <c r="P5" i="16"/>
  <c r="N56" i="22" s="1"/>
  <c r="G5" i="16"/>
  <c r="G19" i="16"/>
  <c r="G26" i="16"/>
  <c r="P7" i="16"/>
  <c r="N58" i="22" s="1"/>
  <c r="P23" i="16"/>
  <c r="N68" i="22" s="1"/>
  <c r="G23" i="16"/>
  <c r="G25" i="16"/>
  <c r="G17" i="16"/>
  <c r="P26" i="14"/>
  <c r="R70" i="22" s="1"/>
  <c r="P19" i="14"/>
  <c r="R66" i="22" s="1"/>
  <c r="G13" i="14"/>
  <c r="P11" i="14"/>
  <c r="R60" i="22" s="1"/>
  <c r="G11" i="14"/>
  <c r="G19" i="14"/>
  <c r="G17" i="14"/>
  <c r="P25" i="14"/>
  <c r="P13" i="14"/>
  <c r="R62" i="22" s="1"/>
  <c r="G7" i="14"/>
  <c r="P5" i="14"/>
  <c r="R56" i="22" s="1"/>
  <c r="G5" i="14"/>
  <c r="G25" i="14"/>
  <c r="G26" i="14"/>
  <c r="P7" i="14"/>
  <c r="R58" i="22" s="1"/>
  <c r="P23" i="14"/>
  <c r="R68" i="22" s="1"/>
  <c r="G23" i="14"/>
  <c r="P17" i="14"/>
  <c r="R64" i="22" s="1"/>
  <c r="E54" i="22"/>
  <c r="G26" i="15"/>
  <c r="P11" i="15"/>
  <c r="P60" i="22" s="1"/>
  <c r="G11" i="15"/>
  <c r="P7" i="15"/>
  <c r="P58" i="22" s="1"/>
  <c r="P25" i="15"/>
  <c r="G17" i="15"/>
  <c r="G7" i="15"/>
  <c r="G25" i="15"/>
  <c r="P5" i="15"/>
  <c r="P56" i="22" s="1"/>
  <c r="G5" i="15"/>
  <c r="G19" i="15"/>
  <c r="P26" i="15"/>
  <c r="P70" i="22" s="1"/>
  <c r="P23" i="15"/>
  <c r="P68" i="22" s="1"/>
  <c r="G23" i="15"/>
  <c r="P19" i="15"/>
  <c r="P66" i="22" s="1"/>
  <c r="G13" i="15"/>
  <c r="P17" i="15"/>
  <c r="P64" i="22" s="1"/>
  <c r="P13" i="15"/>
  <c r="P62" i="22" s="1"/>
  <c r="G26" i="13"/>
  <c r="P11" i="13"/>
  <c r="T60" i="22" s="1"/>
  <c r="G11" i="13"/>
  <c r="P19" i="13"/>
  <c r="T66" i="22" s="1"/>
  <c r="G17" i="13"/>
  <c r="G7" i="13"/>
  <c r="G25" i="13"/>
  <c r="P5" i="13"/>
  <c r="T56" i="22" s="1"/>
  <c r="G5" i="13"/>
  <c r="G19" i="13"/>
  <c r="P17" i="13"/>
  <c r="T64" i="22" s="1"/>
  <c r="P26" i="13"/>
  <c r="T70" i="22" s="1"/>
  <c r="P23" i="13"/>
  <c r="T68" i="22" s="1"/>
  <c r="G23" i="13"/>
  <c r="P7" i="13"/>
  <c r="T58" i="22" s="1"/>
  <c r="G13" i="13"/>
  <c r="P25" i="13"/>
  <c r="P13" i="13"/>
  <c r="T62" i="22" s="1"/>
  <c r="P26" i="20"/>
  <c r="F70" i="22" s="1"/>
  <c r="P7" i="20"/>
  <c r="F58" i="22" s="1"/>
  <c r="G13" i="20"/>
  <c r="P17" i="20"/>
  <c r="F64" i="22" s="1"/>
  <c r="G11" i="20"/>
  <c r="G26" i="20"/>
  <c r="P5" i="20"/>
  <c r="F56" i="22" s="1"/>
  <c r="G19" i="20"/>
  <c r="G17" i="20"/>
  <c r="P25" i="20"/>
  <c r="P13" i="20"/>
  <c r="F62" i="22" s="1"/>
  <c r="G7" i="20"/>
  <c r="P23" i="20"/>
  <c r="F68" i="22" s="1"/>
  <c r="G5" i="20"/>
  <c r="P19" i="20"/>
  <c r="F66" i="22" s="1"/>
  <c r="G23" i="20"/>
  <c r="G25" i="20"/>
  <c r="P11" i="20"/>
  <c r="F60" i="22" s="1"/>
  <c r="G26" i="17"/>
  <c r="P17" i="17"/>
  <c r="L64" i="22" s="1"/>
  <c r="G11" i="17"/>
  <c r="P19" i="17"/>
  <c r="L66" i="22" s="1"/>
  <c r="P5" i="17"/>
  <c r="L56" i="22" s="1"/>
  <c r="G23" i="17"/>
  <c r="P7" i="17"/>
  <c r="L58" i="22" s="1"/>
  <c r="G13" i="17"/>
  <c r="P25" i="17"/>
  <c r="P13" i="17"/>
  <c r="L62" i="22" s="1"/>
  <c r="G25" i="17"/>
  <c r="P23" i="17"/>
  <c r="L68" i="22" s="1"/>
  <c r="G5" i="17"/>
  <c r="G19" i="17"/>
  <c r="P26" i="17"/>
  <c r="L70" i="22" s="1"/>
  <c r="P11" i="17"/>
  <c r="L60" i="22" s="1"/>
  <c r="G17" i="17"/>
  <c r="G7" i="17"/>
  <c r="P26" i="18"/>
  <c r="J70" i="22" s="1"/>
  <c r="P7" i="18"/>
  <c r="J58" i="22" s="1"/>
  <c r="G13" i="18"/>
  <c r="P17" i="18"/>
  <c r="J64" i="22" s="1"/>
  <c r="G11" i="18"/>
  <c r="P19" i="18"/>
  <c r="J66" i="22" s="1"/>
  <c r="G23" i="18"/>
  <c r="G25" i="18"/>
  <c r="P11" i="18"/>
  <c r="J60" i="22" s="1"/>
  <c r="P25" i="18"/>
  <c r="P13" i="18"/>
  <c r="J62" i="22" s="1"/>
  <c r="G7" i="18"/>
  <c r="P23" i="18"/>
  <c r="J68" i="22" s="1"/>
  <c r="G5" i="18"/>
  <c r="G26" i="18"/>
  <c r="P5" i="18"/>
  <c r="J56" i="22" s="1"/>
  <c r="G19" i="18"/>
  <c r="G17" i="18"/>
  <c r="AA54" i="22"/>
  <c r="G26" i="19"/>
  <c r="P17" i="19"/>
  <c r="H64" i="22" s="1"/>
  <c r="G11" i="19"/>
  <c r="G7" i="19"/>
  <c r="P26" i="19"/>
  <c r="H70" i="22" s="1"/>
  <c r="G23" i="19"/>
  <c r="P13" i="19"/>
  <c r="H62" i="22" s="1"/>
  <c r="P25" i="19"/>
  <c r="G13" i="19"/>
  <c r="G25" i="19"/>
  <c r="P23" i="19"/>
  <c r="H68" i="22" s="1"/>
  <c r="G5" i="19"/>
  <c r="P7" i="19"/>
  <c r="H58" i="22" s="1"/>
  <c r="P5" i="19"/>
  <c r="H56" i="22" s="1"/>
  <c r="G19" i="19"/>
  <c r="P11" i="19"/>
  <c r="H60" i="22" s="1"/>
  <c r="G17" i="19"/>
  <c r="P19" i="19"/>
  <c r="H66" i="22" s="1"/>
  <c r="G26" i="10"/>
  <c r="P17" i="10"/>
  <c r="X64" i="22" s="1"/>
  <c r="G11" i="10"/>
  <c r="P19" i="10"/>
  <c r="X66" i="22" s="1"/>
  <c r="P25" i="10"/>
  <c r="P13" i="10"/>
  <c r="X62" i="22" s="1"/>
  <c r="G25" i="10"/>
  <c r="P23" i="10"/>
  <c r="X68" i="22" s="1"/>
  <c r="G5" i="10"/>
  <c r="G19" i="10"/>
  <c r="P11" i="10"/>
  <c r="X60" i="22" s="1"/>
  <c r="G7" i="10"/>
  <c r="P26" i="10"/>
  <c r="X70" i="22" s="1"/>
  <c r="P5" i="10"/>
  <c r="X56" i="22" s="1"/>
  <c r="G23" i="10"/>
  <c r="P7" i="10"/>
  <c r="X58" i="22" s="1"/>
  <c r="G13" i="10"/>
  <c r="G17" i="10"/>
  <c r="P26" i="1"/>
  <c r="P17" i="1"/>
  <c r="P5" i="1"/>
  <c r="P19" i="1"/>
  <c r="P25" i="1"/>
  <c r="P13" i="1"/>
  <c r="P7" i="1"/>
  <c r="P23" i="1"/>
  <c r="P11" i="1"/>
  <c r="P23" i="5"/>
  <c r="P11" i="5"/>
  <c r="G25" i="5"/>
  <c r="G13" i="5"/>
  <c r="P25" i="5"/>
  <c r="G17" i="5"/>
  <c r="P19" i="5"/>
  <c r="P7" i="5"/>
  <c r="G23" i="5"/>
  <c r="G11" i="5"/>
  <c r="G26" i="5"/>
  <c r="P26" i="5"/>
  <c r="P17" i="5"/>
  <c r="P5" i="5"/>
  <c r="G19" i="5"/>
  <c r="G7" i="5"/>
  <c r="P13" i="5"/>
  <c r="G5" i="5"/>
  <c r="G26" i="21"/>
  <c r="P17" i="21"/>
  <c r="D64" i="22" s="1"/>
  <c r="G11" i="21"/>
  <c r="P19" i="21"/>
  <c r="D66" i="22" s="1"/>
  <c r="P5" i="21"/>
  <c r="D56" i="22" s="1"/>
  <c r="P7" i="21"/>
  <c r="D58" i="22" s="1"/>
  <c r="G17" i="21"/>
  <c r="G7" i="21"/>
  <c r="G25" i="21"/>
  <c r="P23" i="21"/>
  <c r="D68" i="22" s="1"/>
  <c r="G5" i="21"/>
  <c r="G19" i="21"/>
  <c r="P26" i="21"/>
  <c r="D70" i="22" s="1"/>
  <c r="G23" i="21"/>
  <c r="G13" i="21"/>
  <c r="P11" i="21"/>
  <c r="D60" i="22" s="1"/>
  <c r="P13" i="21"/>
  <c r="D62" i="22" s="1"/>
  <c r="K39" i="22"/>
  <c r="E39" i="22"/>
  <c r="C44" i="22"/>
  <c r="G50" i="22"/>
  <c r="I41" i="22"/>
  <c r="K47" i="22"/>
  <c r="I47" i="22"/>
  <c r="E51" i="22"/>
  <c r="G39" i="22"/>
  <c r="C39" i="22"/>
  <c r="E38" i="22"/>
  <c r="E42" i="22"/>
  <c r="Y54" i="22"/>
  <c r="C48" i="22"/>
  <c r="G49" i="22"/>
  <c r="E49" i="22"/>
  <c r="C41" i="22"/>
  <c r="I39" i="22"/>
  <c r="E47" i="22"/>
  <c r="AC54" i="22"/>
  <c r="C47" i="22"/>
  <c r="AE54" i="22"/>
  <c r="I49" i="22"/>
  <c r="K51" i="22"/>
  <c r="I51" i="22"/>
  <c r="I45" i="22"/>
  <c r="K50" i="22"/>
  <c r="I50" i="22"/>
  <c r="G47" i="22"/>
  <c r="G43" i="22"/>
  <c r="C38" i="22"/>
  <c r="E50" i="22"/>
  <c r="G44" i="22"/>
  <c r="C45" i="22"/>
  <c r="P25" i="8"/>
  <c r="P13" i="8"/>
  <c r="G26" i="8"/>
  <c r="G17" i="8"/>
  <c r="G5" i="8"/>
  <c r="P7" i="8"/>
  <c r="G11" i="8"/>
  <c r="P26" i="8"/>
  <c r="G19" i="8"/>
  <c r="P23" i="8"/>
  <c r="P11" i="8"/>
  <c r="G25" i="8"/>
  <c r="G13" i="8"/>
  <c r="P19" i="8"/>
  <c r="G23" i="8"/>
  <c r="P17" i="8"/>
  <c r="P5" i="8"/>
  <c r="G7" i="8"/>
  <c r="G26" i="1"/>
  <c r="G17" i="1"/>
  <c r="G5" i="1"/>
  <c r="G23" i="1"/>
  <c r="G7" i="1"/>
  <c r="G25" i="1"/>
  <c r="G13" i="1"/>
  <c r="G19" i="1"/>
  <c r="G11" i="1"/>
  <c r="I54" i="22"/>
  <c r="G54" i="22"/>
  <c r="W54" i="22"/>
  <c r="M54" i="22"/>
  <c r="K54" i="22"/>
  <c r="Q54" i="22"/>
  <c r="O54" i="22"/>
  <c r="U54" i="22"/>
  <c r="C54" i="22"/>
  <c r="S54" i="22"/>
  <c r="W43" i="22"/>
  <c r="W41" i="22"/>
  <c r="AE49" i="22"/>
  <c r="AA47" i="22"/>
  <c r="W47" i="22"/>
  <c r="AA43" i="22"/>
  <c r="Y43" i="22"/>
  <c r="AA49" i="22"/>
  <c r="Y47" i="22"/>
  <c r="AA42" i="22"/>
  <c r="AC42" i="22"/>
  <c r="AC47" i="22"/>
  <c r="Y39" i="22"/>
  <c r="W39" i="22"/>
  <c r="AA48" i="22"/>
  <c r="Y48" i="22"/>
  <c r="W48" i="22"/>
  <c r="Y41" i="22"/>
  <c r="U42" i="22"/>
  <c r="U43" i="22"/>
  <c r="S47" i="22"/>
  <c r="Q47" i="22"/>
  <c r="U49" i="22"/>
  <c r="S44" i="22"/>
  <c r="Q44" i="22"/>
  <c r="Q45" i="22"/>
  <c r="O44" i="22"/>
  <c r="O49" i="22"/>
  <c r="O38" i="22"/>
  <c r="M38" i="22"/>
  <c r="O39" i="22"/>
  <c r="M47" i="22"/>
  <c r="AA38" i="22"/>
  <c r="AC39" i="22"/>
  <c r="AA50" i="22"/>
  <c r="Y50" i="22"/>
  <c r="U50" i="22"/>
  <c r="S50" i="22"/>
  <c r="Q50" i="22"/>
  <c r="U51" i="22"/>
  <c r="S51" i="22"/>
  <c r="Q51" i="22"/>
  <c r="S48" i="22"/>
  <c r="Q48" i="22"/>
  <c r="U47" i="22"/>
  <c r="Q49" i="22"/>
  <c r="O43" i="22"/>
  <c r="O42" i="22"/>
  <c r="O51" i="22"/>
  <c r="M51" i="22"/>
  <c r="Y45" i="22"/>
  <c r="W45" i="22"/>
  <c r="Y38" i="22"/>
  <c r="W38" i="22"/>
  <c r="U39" i="22"/>
  <c r="S38" i="22"/>
  <c r="Q38" i="22"/>
  <c r="S39" i="22"/>
  <c r="Q39" i="22"/>
  <c r="U38" i="22"/>
  <c r="O47" i="22"/>
  <c r="O41" i="22"/>
  <c r="M39" i="22"/>
  <c r="AC51" i="22"/>
  <c r="AE45" i="22"/>
  <c r="AC43" i="22"/>
  <c r="AC50" i="22"/>
  <c r="AC48" i="22"/>
  <c r="AA51" i="22"/>
  <c r="Y51" i="22"/>
  <c r="Y44" i="22"/>
  <c r="W44" i="22"/>
  <c r="Y49" i="22"/>
  <c r="W42" i="22"/>
  <c r="U45" i="22"/>
  <c r="S42" i="22"/>
  <c r="U48" i="22"/>
  <c r="S43" i="22"/>
  <c r="Q43" i="22"/>
  <c r="U41" i="22"/>
  <c r="U44" i="22"/>
  <c r="Q41" i="22"/>
  <c r="O45" i="22"/>
  <c r="M50" i="22"/>
  <c r="AC44" i="22"/>
  <c r="AA44" i="22"/>
  <c r="AE51" i="22"/>
  <c r="AE38" i="22"/>
  <c r="AE39" i="22"/>
  <c r="AE48" i="22"/>
  <c r="AE43" i="22"/>
  <c r="D61" i="22"/>
  <c r="E34" i="22" l="1"/>
  <c r="W34" i="22"/>
  <c r="Y34" i="22"/>
  <c r="U34" i="22"/>
  <c r="AE34" i="22"/>
  <c r="AA34" i="22"/>
  <c r="K34" i="22"/>
  <c r="C34" i="22"/>
  <c r="I34" i="22"/>
  <c r="G34" i="22"/>
  <c r="O34" i="22"/>
  <c r="AC34" i="22"/>
  <c r="S34" i="22"/>
  <c r="Q34" i="22"/>
  <c r="M34" i="22"/>
  <c r="G27" i="21"/>
  <c r="G24" i="21"/>
  <c r="G20" i="21"/>
  <c r="G14" i="21"/>
  <c r="G12" i="21"/>
  <c r="G6" i="21"/>
  <c r="G8" i="21"/>
  <c r="R8" i="21" s="1"/>
  <c r="R27" i="21"/>
  <c r="Q24" i="21"/>
  <c r="D69" i="22" s="1"/>
  <c r="R20" i="21"/>
  <c r="D46" i="22"/>
  <c r="D44" i="22"/>
  <c r="R14" i="21"/>
  <c r="D42" i="22"/>
  <c r="D40" i="22"/>
  <c r="D38" i="22"/>
  <c r="P27" i="20"/>
  <c r="P24" i="20"/>
  <c r="P18" i="20"/>
  <c r="F65" i="22" s="1"/>
  <c r="P20" i="20"/>
  <c r="P14" i="20"/>
  <c r="P12" i="20"/>
  <c r="F61" i="22" s="1"/>
  <c r="P8" i="20"/>
  <c r="P6" i="20"/>
  <c r="F57" i="22" s="1"/>
  <c r="D50" i="22" l="1"/>
  <c r="R6" i="21"/>
  <c r="D37" i="22"/>
  <c r="R5" i="21"/>
  <c r="D36" i="22"/>
  <c r="R23" i="21"/>
  <c r="D48" i="22"/>
  <c r="R12" i="21"/>
  <c r="D41" i="22"/>
  <c r="R18" i="21"/>
  <c r="D45" i="22"/>
  <c r="R19" i="21"/>
  <c r="R7" i="21"/>
  <c r="R17" i="21"/>
  <c r="R26" i="21"/>
  <c r="R13" i="21"/>
  <c r="R11" i="21"/>
  <c r="H24" i="21"/>
  <c r="G24" i="20"/>
  <c r="G27" i="20"/>
  <c r="G20" i="20"/>
  <c r="R20" i="20" s="1"/>
  <c r="G18" i="20"/>
  <c r="G14" i="20"/>
  <c r="G12" i="20"/>
  <c r="G6" i="20"/>
  <c r="G8" i="20"/>
  <c r="R27" i="20"/>
  <c r="Q24" i="20"/>
  <c r="F69" i="22" s="1"/>
  <c r="F48" i="22"/>
  <c r="F46" i="22"/>
  <c r="R14" i="20"/>
  <c r="F42" i="22"/>
  <c r="F40" i="22"/>
  <c r="R8" i="20"/>
  <c r="F38" i="22"/>
  <c r="R5" i="20" l="1"/>
  <c r="F36" i="22"/>
  <c r="R13" i="20"/>
  <c r="R18" i="20"/>
  <c r="F45" i="22"/>
  <c r="R6" i="20"/>
  <c r="F37" i="22"/>
  <c r="R24" i="21"/>
  <c r="D49" i="22"/>
  <c r="R26" i="20"/>
  <c r="F50" i="22"/>
  <c r="R17" i="20"/>
  <c r="F44" i="22"/>
  <c r="R12" i="20"/>
  <c r="F41" i="22"/>
  <c r="R23" i="20"/>
  <c r="R11" i="20"/>
  <c r="R19" i="20"/>
  <c r="R7" i="20"/>
  <c r="H24" i="20"/>
  <c r="P24" i="19"/>
  <c r="P27" i="19"/>
  <c r="P20" i="19"/>
  <c r="P18" i="19"/>
  <c r="H65" i="22" s="1"/>
  <c r="P12" i="19"/>
  <c r="H61" i="22" s="1"/>
  <c r="P14" i="19"/>
  <c r="P8" i="19"/>
  <c r="P6" i="19"/>
  <c r="H57" i="22" s="1"/>
  <c r="R24" i="20" l="1"/>
  <c r="F49" i="22"/>
  <c r="G27" i="19"/>
  <c r="G24" i="19"/>
  <c r="G20" i="19"/>
  <c r="G18" i="19"/>
  <c r="G14" i="19"/>
  <c r="G12" i="19"/>
  <c r="G6" i="19"/>
  <c r="G8" i="19"/>
  <c r="R8" i="19" s="1"/>
  <c r="R27" i="19"/>
  <c r="Q24" i="19"/>
  <c r="H69" i="22" s="1"/>
  <c r="R20" i="19"/>
  <c r="H46" i="22"/>
  <c r="R14" i="19"/>
  <c r="H42" i="22"/>
  <c r="H40" i="22"/>
  <c r="H38" i="22"/>
  <c r="H36" i="22"/>
  <c r="P24" i="18"/>
  <c r="P27" i="18"/>
  <c r="P20" i="18"/>
  <c r="P18" i="18"/>
  <c r="J65" i="22" s="1"/>
  <c r="P12" i="18"/>
  <c r="J61" i="22" s="1"/>
  <c r="P14" i="18"/>
  <c r="P6" i="18"/>
  <c r="J57" i="22" s="1"/>
  <c r="P8" i="18"/>
  <c r="R18" i="19" l="1"/>
  <c r="H45" i="22"/>
  <c r="R17" i="19"/>
  <c r="H44" i="22"/>
  <c r="H50" i="22"/>
  <c r="R6" i="19"/>
  <c r="H37" i="22"/>
  <c r="R23" i="19"/>
  <c r="H48" i="22"/>
  <c r="R12" i="19"/>
  <c r="H41" i="22"/>
  <c r="R19" i="19"/>
  <c r="R26" i="19"/>
  <c r="R7" i="19"/>
  <c r="R13" i="19"/>
  <c r="R5" i="19"/>
  <c r="R11" i="19"/>
  <c r="H24" i="19"/>
  <c r="G27" i="18"/>
  <c r="G24" i="18"/>
  <c r="G20" i="18"/>
  <c r="G18" i="18"/>
  <c r="J45" i="22" s="1"/>
  <c r="G14" i="18"/>
  <c r="G12" i="18"/>
  <c r="J41" i="22" s="1"/>
  <c r="G8" i="18"/>
  <c r="G6" i="18"/>
  <c r="R27" i="18"/>
  <c r="Q24" i="18"/>
  <c r="J69" i="22" s="1"/>
  <c r="J48" i="22"/>
  <c r="R20" i="18"/>
  <c r="J46" i="22"/>
  <c r="J44" i="22"/>
  <c r="R14" i="18"/>
  <c r="J40" i="22"/>
  <c r="R8" i="18"/>
  <c r="J38" i="22"/>
  <c r="P27" i="17"/>
  <c r="P24" i="17"/>
  <c r="P18" i="17"/>
  <c r="L65" i="22" s="1"/>
  <c r="P20" i="17"/>
  <c r="P12" i="17"/>
  <c r="L61" i="22" s="1"/>
  <c r="P14" i="17"/>
  <c r="P8" i="17"/>
  <c r="P6" i="17"/>
  <c r="L57" i="22" s="1"/>
  <c r="G24" i="17"/>
  <c r="G27" i="17"/>
  <c r="R27" i="17" s="1"/>
  <c r="G18" i="17"/>
  <c r="L45" i="22" s="1"/>
  <c r="G20" i="17"/>
  <c r="R20" i="17" s="1"/>
  <c r="G14" i="17"/>
  <c r="G12" i="17"/>
  <c r="L41" i="22" s="1"/>
  <c r="G8" i="17"/>
  <c r="G6" i="17"/>
  <c r="L44" i="22"/>
  <c r="R14" i="17"/>
  <c r="L42" i="22"/>
  <c r="L40" i="22"/>
  <c r="R8" i="17"/>
  <c r="L38" i="22"/>
  <c r="P27" i="16"/>
  <c r="P24" i="16"/>
  <c r="P20" i="16"/>
  <c r="P18" i="16"/>
  <c r="N65" i="22" s="1"/>
  <c r="P14" i="16"/>
  <c r="P12" i="16"/>
  <c r="N61" i="22" s="1"/>
  <c r="P8" i="16"/>
  <c r="P6" i="16"/>
  <c r="N57" i="22" s="1"/>
  <c r="G20" i="16"/>
  <c r="G24" i="16"/>
  <c r="G27" i="16"/>
  <c r="R27" i="16" s="1"/>
  <c r="G18" i="16"/>
  <c r="N45" i="22" s="1"/>
  <c r="G14" i="16"/>
  <c r="G12" i="16"/>
  <c r="N41" i="22" s="1"/>
  <c r="G8" i="16"/>
  <c r="G6" i="16"/>
  <c r="N37" i="22" s="1"/>
  <c r="P27" i="15"/>
  <c r="P24" i="15"/>
  <c r="P20" i="15"/>
  <c r="P18" i="15"/>
  <c r="P65" i="22" s="1"/>
  <c r="P14" i="15"/>
  <c r="P12" i="15"/>
  <c r="P61" i="22" s="1"/>
  <c r="P8" i="15"/>
  <c r="P6" i="15"/>
  <c r="P57" i="22" s="1"/>
  <c r="G27" i="15"/>
  <c r="G24" i="15"/>
  <c r="G18" i="15"/>
  <c r="P45" i="22" s="1"/>
  <c r="P46" i="22"/>
  <c r="N48" i="22"/>
  <c r="R20" i="16"/>
  <c r="N46" i="22"/>
  <c r="N44" i="22"/>
  <c r="R14" i="16"/>
  <c r="N42" i="22"/>
  <c r="R8" i="16"/>
  <c r="N38" i="22"/>
  <c r="N36" i="22"/>
  <c r="R11" i="16" l="1"/>
  <c r="N40" i="22"/>
  <c r="R23" i="17"/>
  <c r="L48" i="22"/>
  <c r="R6" i="17"/>
  <c r="L37" i="22"/>
  <c r="R19" i="18"/>
  <c r="R6" i="18"/>
  <c r="J37" i="22"/>
  <c r="H24" i="16"/>
  <c r="N49" i="22" s="1"/>
  <c r="R13" i="18"/>
  <c r="J42" i="22"/>
  <c r="J50" i="22"/>
  <c r="R24" i="19"/>
  <c r="H49" i="22"/>
  <c r="R5" i="17"/>
  <c r="L36" i="22"/>
  <c r="R19" i="17"/>
  <c r="L46" i="22"/>
  <c r="L50" i="22"/>
  <c r="R5" i="18"/>
  <c r="J36" i="22"/>
  <c r="N50" i="22"/>
  <c r="R7" i="18"/>
  <c r="R26" i="18"/>
  <c r="R18" i="17"/>
  <c r="R26" i="16"/>
  <c r="R17" i="17"/>
  <c r="R26" i="17"/>
  <c r="R7" i="16"/>
  <c r="R13" i="16"/>
  <c r="R17" i="18"/>
  <c r="R11" i="18"/>
  <c r="R23" i="18"/>
  <c r="R13" i="17"/>
  <c r="R7" i="17"/>
  <c r="R11" i="17"/>
  <c r="R5" i="16"/>
  <c r="R19" i="16"/>
  <c r="R17" i="16"/>
  <c r="R23" i="16"/>
  <c r="H24" i="18"/>
  <c r="R18" i="18"/>
  <c r="R12" i="18"/>
  <c r="Q24" i="17"/>
  <c r="L69" i="22" s="1"/>
  <c r="R12" i="17"/>
  <c r="H24" i="17"/>
  <c r="Q24" i="16"/>
  <c r="R18" i="16"/>
  <c r="R12" i="16"/>
  <c r="R6" i="16"/>
  <c r="G20" i="15"/>
  <c r="G14" i="15"/>
  <c r="G12" i="15"/>
  <c r="G8" i="15"/>
  <c r="G6" i="15"/>
  <c r="R27" i="15"/>
  <c r="Q24" i="15"/>
  <c r="P69" i="22" s="1"/>
  <c r="H24" i="15"/>
  <c r="P49" i="22" s="1"/>
  <c r="P48" i="22"/>
  <c r="R20" i="15"/>
  <c r="R19" i="15"/>
  <c r="R18" i="15"/>
  <c r="P44" i="22"/>
  <c r="R14" i="15"/>
  <c r="R13" i="15"/>
  <c r="P42" i="22"/>
  <c r="P40" i="22"/>
  <c r="R8" i="15"/>
  <c r="P38" i="22"/>
  <c r="P36" i="22"/>
  <c r="P27" i="14"/>
  <c r="P24" i="14"/>
  <c r="P20" i="14"/>
  <c r="P18" i="14"/>
  <c r="R65" i="22" s="1"/>
  <c r="P14" i="14"/>
  <c r="R14" i="14" s="1"/>
  <c r="P12" i="14"/>
  <c r="R61" i="22" s="1"/>
  <c r="P8" i="14"/>
  <c r="P6" i="14"/>
  <c r="R57" i="22" s="1"/>
  <c r="G27" i="14"/>
  <c r="G24" i="14"/>
  <c r="G18" i="14"/>
  <c r="R45" i="22" s="1"/>
  <c r="G14" i="14"/>
  <c r="G12" i="14"/>
  <c r="R41" i="22" s="1"/>
  <c r="G8" i="14"/>
  <c r="G6" i="14"/>
  <c r="R48" i="22"/>
  <c r="R20" i="14"/>
  <c r="R46" i="22"/>
  <c r="R44" i="22"/>
  <c r="R42" i="22"/>
  <c r="R40" i="22"/>
  <c r="R8" i="14"/>
  <c r="R38" i="22"/>
  <c r="R36" i="22"/>
  <c r="R24" i="16" l="1"/>
  <c r="N69" i="22"/>
  <c r="R6" i="14"/>
  <c r="R37" i="22"/>
  <c r="R6" i="15"/>
  <c r="P37" i="22"/>
  <c r="P50" i="22"/>
  <c r="R24" i="17"/>
  <c r="L49" i="22"/>
  <c r="R26" i="14"/>
  <c r="R50" i="22"/>
  <c r="R12" i="15"/>
  <c r="P41" i="22"/>
  <c r="R24" i="18"/>
  <c r="J49" i="22"/>
  <c r="R11" i="14"/>
  <c r="R23" i="15"/>
  <c r="R26" i="15"/>
  <c r="R17" i="14"/>
  <c r="R7" i="15"/>
  <c r="R7" i="14"/>
  <c r="R5" i="15"/>
  <c r="R17" i="15"/>
  <c r="R11" i="15"/>
  <c r="R5" i="14"/>
  <c r="R13" i="14"/>
  <c r="R19" i="14"/>
  <c r="H24" i="14"/>
  <c r="R49" i="22" s="1"/>
  <c r="R23" i="14"/>
  <c r="R24" i="15"/>
  <c r="R27" i="14"/>
  <c r="Q24" i="14"/>
  <c r="R69" i="22" s="1"/>
  <c r="R18" i="14"/>
  <c r="R12" i="14"/>
  <c r="P27" i="13"/>
  <c r="P24" i="13"/>
  <c r="P20" i="13"/>
  <c r="P18" i="13"/>
  <c r="T65" i="22" s="1"/>
  <c r="P12" i="13"/>
  <c r="T61" i="22" s="1"/>
  <c r="P8" i="13"/>
  <c r="P6" i="13"/>
  <c r="T57" i="22" s="1"/>
  <c r="G24" i="13"/>
  <c r="G27" i="13"/>
  <c r="G20" i="13"/>
  <c r="G18" i="13"/>
  <c r="T45" i="22" s="1"/>
  <c r="G14" i="13"/>
  <c r="R14" i="13" s="1"/>
  <c r="G12" i="13"/>
  <c r="T41" i="22" s="1"/>
  <c r="G8" i="13"/>
  <c r="G6" i="13"/>
  <c r="T37" i="22" s="1"/>
  <c r="T36" i="22"/>
  <c r="R27" i="13"/>
  <c r="T48" i="22"/>
  <c r="R20" i="13"/>
  <c r="T46" i="22"/>
  <c r="T44" i="22"/>
  <c r="T42" i="22"/>
  <c r="T40" i="22"/>
  <c r="R8" i="13"/>
  <c r="T38" i="22"/>
  <c r="R5" i="13"/>
  <c r="P27" i="11"/>
  <c r="P24" i="11"/>
  <c r="P18" i="11"/>
  <c r="V65" i="22" s="1"/>
  <c r="P14" i="11"/>
  <c r="P12" i="11"/>
  <c r="V61" i="22" s="1"/>
  <c r="P8" i="11"/>
  <c r="P6" i="11"/>
  <c r="V57" i="22" s="1"/>
  <c r="G24" i="11"/>
  <c r="G27" i="11"/>
  <c r="R27" i="11" s="1"/>
  <c r="G20" i="11"/>
  <c r="G18" i="11"/>
  <c r="V45" i="22" s="1"/>
  <c r="G14" i="11"/>
  <c r="G12" i="11"/>
  <c r="V41" i="22" s="1"/>
  <c r="G8" i="11"/>
  <c r="G6" i="11"/>
  <c r="V37" i="22" s="1"/>
  <c r="V48" i="22"/>
  <c r="V46" i="22"/>
  <c r="V44" i="22"/>
  <c r="R14" i="11"/>
  <c r="V42" i="22"/>
  <c r="V40" i="22"/>
  <c r="V38" i="22"/>
  <c r="V36" i="22"/>
  <c r="R26" i="13" l="1"/>
  <c r="T50" i="22"/>
  <c r="V50" i="22"/>
  <c r="R7" i="13"/>
  <c r="R13" i="13"/>
  <c r="R19" i="13"/>
  <c r="R23" i="13"/>
  <c r="H24" i="13"/>
  <c r="T49" i="22" s="1"/>
  <c r="R24" i="14"/>
  <c r="R23" i="11"/>
  <c r="R5" i="11"/>
  <c r="R11" i="11"/>
  <c r="R18" i="13"/>
  <c r="R11" i="13"/>
  <c r="R17" i="13"/>
  <c r="R17" i="11"/>
  <c r="R18" i="11"/>
  <c r="R7" i="11"/>
  <c r="R13" i="11"/>
  <c r="R19" i="11"/>
  <c r="R26" i="11"/>
  <c r="Q24" i="11"/>
  <c r="V69" i="22" s="1"/>
  <c r="Q24" i="13"/>
  <c r="T69" i="22" s="1"/>
  <c r="R12" i="13"/>
  <c r="R6" i="13"/>
  <c r="R20" i="11"/>
  <c r="R12" i="11"/>
  <c r="R8" i="11"/>
  <c r="R6" i="11"/>
  <c r="H24" i="11"/>
  <c r="P27" i="10"/>
  <c r="P24" i="10"/>
  <c r="P18" i="10"/>
  <c r="X65" i="22" s="1"/>
  <c r="P20" i="10"/>
  <c r="R20" i="10" s="1"/>
  <c r="P14" i="10"/>
  <c r="P12" i="10"/>
  <c r="X61" i="22" s="1"/>
  <c r="P6" i="10"/>
  <c r="X57" i="22" s="1"/>
  <c r="P8" i="10"/>
  <c r="G27" i="10"/>
  <c r="R27" i="10" s="1"/>
  <c r="G24" i="10"/>
  <c r="G20" i="10"/>
  <c r="G18" i="10"/>
  <c r="X45" i="22" s="1"/>
  <c r="G14" i="10"/>
  <c r="G12" i="10"/>
  <c r="X41" i="22" s="1"/>
  <c r="G8" i="10"/>
  <c r="G6" i="10"/>
  <c r="X37" i="22" s="1"/>
  <c r="X48" i="22"/>
  <c r="R14" i="10"/>
  <c r="X42" i="22"/>
  <c r="X40" i="22"/>
  <c r="R7" i="10"/>
  <c r="X38" i="22"/>
  <c r="X36" i="22"/>
  <c r="P27" i="9"/>
  <c r="P24" i="9"/>
  <c r="P20" i="9"/>
  <c r="P18" i="9"/>
  <c r="Z65" i="22" s="1"/>
  <c r="P14" i="9"/>
  <c r="P12" i="9"/>
  <c r="Z61" i="22" s="1"/>
  <c r="P8" i="9"/>
  <c r="P6" i="9"/>
  <c r="Z57" i="22" s="1"/>
  <c r="G24" i="9"/>
  <c r="G27" i="9"/>
  <c r="G20" i="9"/>
  <c r="R20" i="9" s="1"/>
  <c r="G18" i="9"/>
  <c r="Z45" i="22" s="1"/>
  <c r="G14" i="9"/>
  <c r="G12" i="9"/>
  <c r="Z41" i="22" s="1"/>
  <c r="G8" i="9"/>
  <c r="G6" i="9"/>
  <c r="Z37" i="22" s="1"/>
  <c r="R27" i="9"/>
  <c r="Z70" i="22"/>
  <c r="Z50" i="22"/>
  <c r="Z68" i="22"/>
  <c r="Z48" i="22"/>
  <c r="Z66" i="22"/>
  <c r="Z46" i="22"/>
  <c r="Z64" i="22"/>
  <c r="Z44" i="22"/>
  <c r="Z62" i="22"/>
  <c r="Z42" i="22"/>
  <c r="Z60" i="22"/>
  <c r="Z40" i="22"/>
  <c r="R8" i="9"/>
  <c r="Z58" i="22"/>
  <c r="Z38" i="22"/>
  <c r="Z56" i="22"/>
  <c r="Z36" i="22"/>
  <c r="R24" i="13" l="1"/>
  <c r="R19" i="10"/>
  <c r="X46" i="22"/>
  <c r="X50" i="22"/>
  <c r="R24" i="11"/>
  <c r="V49" i="22"/>
  <c r="R17" i="10"/>
  <c r="X44" i="22"/>
  <c r="R26" i="9"/>
  <c r="R26" i="10"/>
  <c r="R13" i="10"/>
  <c r="R23" i="10"/>
  <c r="R5" i="9"/>
  <c r="R13" i="9"/>
  <c r="R19" i="9"/>
  <c r="R5" i="10"/>
  <c r="R11" i="10"/>
  <c r="R11" i="9"/>
  <c r="R17" i="9"/>
  <c r="R23" i="9"/>
  <c r="R7" i="9"/>
  <c r="Q24" i="10"/>
  <c r="X69" i="22" s="1"/>
  <c r="R18" i="10"/>
  <c r="R12" i="10"/>
  <c r="R6" i="10"/>
  <c r="R8" i="10"/>
  <c r="H24" i="10"/>
  <c r="X49" i="22" s="1"/>
  <c r="Q24" i="9"/>
  <c r="Z69" i="22" s="1"/>
  <c r="R18" i="9"/>
  <c r="R14" i="9"/>
  <c r="R12" i="9"/>
  <c r="R6" i="9"/>
  <c r="H24" i="9"/>
  <c r="Z49" i="22" s="1"/>
  <c r="P27" i="8"/>
  <c r="AB71" i="22" s="1"/>
  <c r="P24" i="8"/>
  <c r="P20" i="8"/>
  <c r="AB67" i="22" s="1"/>
  <c r="P18" i="8"/>
  <c r="AB65" i="22" s="1"/>
  <c r="P14" i="8"/>
  <c r="AB63" i="22" s="1"/>
  <c r="P12" i="8"/>
  <c r="AB61" i="22" s="1"/>
  <c r="P8" i="8"/>
  <c r="AB59" i="22" s="1"/>
  <c r="P6" i="8"/>
  <c r="AB57" i="22" s="1"/>
  <c r="G27" i="8"/>
  <c r="AB51" i="22" s="1"/>
  <c r="G24" i="8"/>
  <c r="G20" i="8"/>
  <c r="AB47" i="22" s="1"/>
  <c r="G18" i="8"/>
  <c r="AB45" i="22" s="1"/>
  <c r="G14" i="8"/>
  <c r="AB43" i="22" s="1"/>
  <c r="G12" i="8"/>
  <c r="AB41" i="22" s="1"/>
  <c r="G8" i="8"/>
  <c r="AB39" i="22" s="1"/>
  <c r="G6" i="8"/>
  <c r="AB37" i="22" s="1"/>
  <c r="AB50" i="22"/>
  <c r="AB68" i="22"/>
  <c r="AB48" i="22"/>
  <c r="AB46" i="22"/>
  <c r="AB64" i="22"/>
  <c r="AB44" i="22"/>
  <c r="AB62" i="22"/>
  <c r="AB42" i="22"/>
  <c r="AB60" i="22"/>
  <c r="AB58" i="22"/>
  <c r="AB38" i="22"/>
  <c r="AB56" i="22"/>
  <c r="AB36" i="22"/>
  <c r="J9" i="22" l="1"/>
  <c r="J12" i="22"/>
  <c r="AB70" i="22"/>
  <c r="AB40" i="22"/>
  <c r="AB66" i="22"/>
  <c r="R24" i="9"/>
  <c r="R24" i="10"/>
  <c r="Q24" i="8"/>
  <c r="AB69" i="22" s="1"/>
  <c r="H24" i="8"/>
  <c r="P24" i="5"/>
  <c r="P18" i="5"/>
  <c r="AD65" i="22" s="1"/>
  <c r="P12" i="5"/>
  <c r="AD61" i="22" s="1"/>
  <c r="P6" i="5"/>
  <c r="AD57" i="22" s="1"/>
  <c r="J15" i="22" l="1"/>
  <c r="AB49" i="22"/>
  <c r="P27" i="5"/>
  <c r="P20" i="5"/>
  <c r="R20" i="5" s="1"/>
  <c r="P14" i="5"/>
  <c r="P8" i="5"/>
  <c r="G27" i="5"/>
  <c r="G24" i="5"/>
  <c r="G20" i="5"/>
  <c r="G18" i="5"/>
  <c r="G14" i="5"/>
  <c r="R14" i="5" s="1"/>
  <c r="G12" i="5"/>
  <c r="G8" i="5"/>
  <c r="G6" i="5"/>
  <c r="R27" i="5"/>
  <c r="AD70" i="22"/>
  <c r="AD50" i="22"/>
  <c r="Q24" i="5"/>
  <c r="AD69" i="22" s="1"/>
  <c r="AD68" i="22"/>
  <c r="AD48" i="22"/>
  <c r="AD66" i="22"/>
  <c r="AD46" i="22"/>
  <c r="AD64" i="22"/>
  <c r="AD44" i="22"/>
  <c r="AD62" i="22"/>
  <c r="AD42" i="22"/>
  <c r="AD60" i="22"/>
  <c r="AD40" i="22"/>
  <c r="R8" i="5"/>
  <c r="AD58" i="22"/>
  <c r="AD38" i="22"/>
  <c r="AD56" i="22"/>
  <c r="AD36" i="22"/>
  <c r="R6" i="5" l="1"/>
  <c r="AD37" i="22"/>
  <c r="R18" i="5"/>
  <c r="AD45" i="22"/>
  <c r="R12" i="5"/>
  <c r="AD41" i="22"/>
  <c r="R5" i="5"/>
  <c r="R26" i="5"/>
  <c r="R13" i="5"/>
  <c r="R19" i="5"/>
  <c r="R7" i="5"/>
  <c r="R11" i="5"/>
  <c r="R17" i="5"/>
  <c r="R23" i="5"/>
  <c r="H24" i="5"/>
  <c r="R24" i="5" l="1"/>
  <c r="AD49" i="22"/>
  <c r="P24" i="1" l="1"/>
  <c r="P27" i="1"/>
  <c r="AF71" i="22" s="1"/>
  <c r="P20" i="1"/>
  <c r="AF67" i="22" s="1"/>
  <c r="AF66" i="22"/>
  <c r="P18" i="1"/>
  <c r="AF65" i="22" s="1"/>
  <c r="AF64" i="22"/>
  <c r="P14" i="1"/>
  <c r="AF63" i="22" s="1"/>
  <c r="AF62" i="22"/>
  <c r="P12" i="1"/>
  <c r="AF61" i="22" s="1"/>
  <c r="AF60" i="22"/>
  <c r="P8" i="1"/>
  <c r="AF59" i="22" s="1"/>
  <c r="P6" i="1"/>
  <c r="AF57" i="22" s="1"/>
  <c r="AF70" i="22"/>
  <c r="AF68" i="22"/>
  <c r="G12" i="1"/>
  <c r="AF41" i="22" s="1"/>
  <c r="AF58" i="22"/>
  <c r="AF56" i="22"/>
  <c r="G27" i="1"/>
  <c r="AF51" i="22" s="1"/>
  <c r="AF50" i="22"/>
  <c r="G24" i="1"/>
  <c r="AF48" i="22"/>
  <c r="G20" i="1"/>
  <c r="AF47" i="22" s="1"/>
  <c r="AF46" i="22"/>
  <c r="G18" i="1"/>
  <c r="AF45" i="22" s="1"/>
  <c r="G6" i="1"/>
  <c r="G14" i="1"/>
  <c r="AF43" i="22" s="1"/>
  <c r="G8" i="1"/>
  <c r="AF39" i="22" s="1"/>
  <c r="J13" i="22" l="1"/>
  <c r="J14" i="22"/>
  <c r="AF38" i="22"/>
  <c r="AF37" i="22"/>
  <c r="AF44" i="22"/>
  <c r="AF40" i="22"/>
  <c r="AF42" i="22"/>
  <c r="H24" i="1"/>
  <c r="AF49" i="22" s="1"/>
  <c r="Q24" i="1"/>
  <c r="J10" i="22" l="1"/>
  <c r="J16" i="22" s="1"/>
  <c r="J11" i="22"/>
  <c r="J17" i="22" s="1"/>
  <c r="AF69" i="22"/>
  <c r="AF36" i="22"/>
  <c r="J18" i="22" l="1"/>
  <c r="L18" i="22"/>
  <c r="N18" i="22" l="1"/>
  <c r="B11" i="3" s="1"/>
</calcChain>
</file>

<file path=xl/sharedStrings.xml><?xml version="1.0" encoding="utf-8"?>
<sst xmlns="http://schemas.openxmlformats.org/spreadsheetml/2006/main" count="1325" uniqueCount="619">
  <si>
    <t>平成30年8月1日～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</si>
  <si>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～29歳まで</t>
    <rPh sb="3" eb="4">
      <t>サイ</t>
    </rPh>
    <phoneticPr fontId="1"/>
  </si>
  <si>
    <t>2,480円～4,969円</t>
    <rPh sb="5" eb="6">
      <t>エン</t>
    </rPh>
    <rPh sb="12" eb="13">
      <t>エン</t>
    </rPh>
    <phoneticPr fontId="1"/>
  </si>
  <si>
    <t>4,970円～12,220円</t>
    <rPh sb="5" eb="6">
      <t>エン</t>
    </rPh>
    <rPh sb="13" eb="14">
      <t>エン</t>
    </rPh>
    <phoneticPr fontId="1"/>
  </si>
  <si>
    <t>12,221円～13,510円</t>
    <rPh sb="6" eb="7">
      <t>エン</t>
    </rPh>
    <rPh sb="14" eb="15">
      <t>エン</t>
    </rPh>
    <phoneticPr fontId="1"/>
  </si>
  <si>
    <t>13,511円～</t>
    <rPh sb="6" eb="7">
      <t>エン</t>
    </rPh>
    <phoneticPr fontId="1"/>
  </si>
  <si>
    <t>ｙ＝0.8ｗ</t>
    <phoneticPr fontId="1"/>
  </si>
  <si>
    <t>ｗ＝</t>
    <phoneticPr fontId="1"/>
  </si>
  <si>
    <t>y=0.5w</t>
    <phoneticPr fontId="1"/>
  </si>
  <si>
    <t>y=6,755</t>
    <phoneticPr fontId="1"/>
  </si>
  <si>
    <t>30歳～44歳まで</t>
    <rPh sb="2" eb="3">
      <t>サイ</t>
    </rPh>
    <rPh sb="6" eb="7">
      <t>サイ</t>
    </rPh>
    <phoneticPr fontId="1"/>
  </si>
  <si>
    <t>12,221円～15,010円</t>
    <rPh sb="6" eb="7">
      <t>エン</t>
    </rPh>
    <rPh sb="14" eb="15">
      <t>エン</t>
    </rPh>
    <phoneticPr fontId="1"/>
  </si>
  <si>
    <t>15,011円～</t>
    <rPh sb="6" eb="7">
      <t>エン</t>
    </rPh>
    <phoneticPr fontId="1"/>
  </si>
  <si>
    <t>y=7,505</t>
    <phoneticPr fontId="1"/>
  </si>
  <si>
    <t>45歳～59歳まで</t>
    <rPh sb="2" eb="3">
      <t>サイ</t>
    </rPh>
    <rPh sb="6" eb="7">
      <t>サイ</t>
    </rPh>
    <phoneticPr fontId="1"/>
  </si>
  <si>
    <t>12,221円～16,510円</t>
    <rPh sb="6" eb="7">
      <t>エン</t>
    </rPh>
    <rPh sb="14" eb="15">
      <t>エン</t>
    </rPh>
    <phoneticPr fontId="1"/>
  </si>
  <si>
    <t>16,511円～</t>
    <rPh sb="6" eb="7">
      <t>エン</t>
    </rPh>
    <phoneticPr fontId="1"/>
  </si>
  <si>
    <t>y=8,255</t>
    <phoneticPr fontId="1"/>
  </si>
  <si>
    <t>60歳～64歳まで</t>
    <rPh sb="2" eb="3">
      <t>サイ</t>
    </rPh>
    <rPh sb="6" eb="7">
      <t>サイ</t>
    </rPh>
    <phoneticPr fontId="1"/>
  </si>
  <si>
    <t>4,970円～10,990円</t>
    <rPh sb="5" eb="6">
      <t>エン</t>
    </rPh>
    <rPh sb="13" eb="14">
      <t>エン</t>
    </rPh>
    <phoneticPr fontId="1"/>
  </si>
  <si>
    <t>10,991円～15,750円</t>
    <rPh sb="6" eb="7">
      <t>エン</t>
    </rPh>
    <rPh sb="14" eb="15">
      <t>エン</t>
    </rPh>
    <phoneticPr fontId="1"/>
  </si>
  <si>
    <t>y=0.45w</t>
    <phoneticPr fontId="1"/>
  </si>
  <si>
    <t>15,751円～</t>
    <rPh sb="6" eb="7">
      <t>エン</t>
    </rPh>
    <phoneticPr fontId="1"/>
  </si>
  <si>
    <t>y=7,087</t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</si>
  <si>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</si>
  <si>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</si>
  <si>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4,970円～12,210円</t>
    <rPh sb="5" eb="6">
      <t>エン</t>
    </rPh>
    <rPh sb="13" eb="14">
      <t>エン</t>
    </rPh>
    <phoneticPr fontId="1"/>
  </si>
  <si>
    <t>12,211円～13,500円</t>
    <rPh sb="6" eb="7">
      <t>エン</t>
    </rPh>
    <rPh sb="14" eb="15">
      <t>エン</t>
    </rPh>
    <phoneticPr fontId="1"/>
  </si>
  <si>
    <t>13,501円～</t>
    <rPh sb="6" eb="7">
      <t>エン</t>
    </rPh>
    <phoneticPr fontId="1"/>
  </si>
  <si>
    <t>y=6,750</t>
    <phoneticPr fontId="1"/>
  </si>
  <si>
    <t>12,211円～14,990円</t>
    <rPh sb="6" eb="7">
      <t>エン</t>
    </rPh>
    <rPh sb="14" eb="15">
      <t>エン</t>
    </rPh>
    <phoneticPr fontId="1"/>
  </si>
  <si>
    <t>14,991円～</t>
    <rPh sb="6" eb="7">
      <t>エン</t>
    </rPh>
    <phoneticPr fontId="1"/>
  </si>
  <si>
    <t>y=7,495</t>
    <phoneticPr fontId="1"/>
  </si>
  <si>
    <t>12,211円～16,500円</t>
    <rPh sb="6" eb="7">
      <t>エン</t>
    </rPh>
    <rPh sb="14" eb="15">
      <t>エン</t>
    </rPh>
    <phoneticPr fontId="1"/>
  </si>
  <si>
    <t>16,501円～</t>
    <rPh sb="6" eb="7">
      <t>エン</t>
    </rPh>
    <phoneticPr fontId="1"/>
  </si>
  <si>
    <t>y=8,250</t>
    <phoneticPr fontId="1"/>
  </si>
  <si>
    <t>4,970円～10,980円</t>
    <rPh sb="5" eb="6">
      <t>エン</t>
    </rPh>
    <rPh sb="13" eb="14">
      <t>エン</t>
    </rPh>
    <phoneticPr fontId="1"/>
  </si>
  <si>
    <t>10,981円～15,740円</t>
    <rPh sb="6" eb="7">
      <t>エン</t>
    </rPh>
    <rPh sb="14" eb="15">
      <t>エン</t>
    </rPh>
    <phoneticPr fontId="1"/>
  </si>
  <si>
    <t>15,741円～</t>
    <rPh sb="6" eb="7">
      <t>エン</t>
    </rPh>
    <phoneticPr fontId="1"/>
  </si>
  <si>
    <t>y=7,083</t>
    <phoneticPr fontId="1"/>
  </si>
  <si>
    <t>差</t>
    <rPh sb="0" eb="1">
      <t>サ</t>
    </rPh>
    <phoneticPr fontId="1"/>
  </si>
  <si>
    <t>29歳</t>
    <rPh sb="2" eb="3">
      <t>サイ</t>
    </rPh>
    <phoneticPr fontId="1"/>
  </si>
  <si>
    <t>35歳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</si>
  <si>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</si>
  <si>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</si>
  <si>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年齢</t>
    <rPh sb="0" eb="2">
      <t>ネンレイ</t>
    </rPh>
    <phoneticPr fontId="1"/>
  </si>
  <si>
    <t>～29歳または65歳～</t>
    <rPh sb="3" eb="4">
      <t>サイ</t>
    </rPh>
    <rPh sb="9" eb="10">
      <t>サイ</t>
    </rPh>
    <phoneticPr fontId="1"/>
  </si>
  <si>
    <t>30歳～44歳</t>
    <rPh sb="2" eb="3">
      <t>サイ</t>
    </rPh>
    <rPh sb="6" eb="7">
      <t>サイ</t>
    </rPh>
    <phoneticPr fontId="1"/>
  </si>
  <si>
    <t>45歳～59歳</t>
    <rPh sb="2" eb="3">
      <t>サイ</t>
    </rPh>
    <rPh sb="6" eb="7">
      <t>サイ</t>
    </rPh>
    <phoneticPr fontId="1"/>
  </si>
  <si>
    <t>60～64歳</t>
    <rPh sb="5" eb="6">
      <t>サイ</t>
    </rPh>
    <phoneticPr fontId="1"/>
  </si>
  <si>
    <t>年</t>
    <rPh sb="0" eb="1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</si>
  <si>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</si>
  <si>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</si>
  <si>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</si>
  <si>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</si>
  <si>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</si>
  <si>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</si>
  <si>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</si>
  <si>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</si>
  <si>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</si>
  <si>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</si>
  <si>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</si>
  <si>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</si>
  <si>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</si>
  <si>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</si>
  <si>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</si>
  <si>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月</t>
    <rPh sb="0" eb="1">
      <t>ツキ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</si>
  <si>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</si>
  <si>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</si>
  <si>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</si>
  <si>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</si>
  <si>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</si>
  <si>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</si>
  <si>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</si>
  <si>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</si>
  <si>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</si>
  <si>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</si>
  <si>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</si>
  <si>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</si>
  <si>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</t>
    <rPh sb="0" eb="1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</si>
  <si>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</si>
  <si>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</si>
  <si>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</si>
  <si>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</si>
  <si>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</si>
  <si>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</si>
  <si>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</si>
  <si>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</si>
  <si>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</si>
  <si>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</si>
  <si>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</si>
  <si>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</si>
  <si>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</si>
  <si>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</si>
  <si>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</si>
  <si>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</si>
  <si>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</si>
  <si>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</si>
  <si>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</si>
  <si>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</si>
  <si>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</si>
  <si>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</si>
  <si>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</si>
  <si>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</si>
  <si>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</si>
  <si>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</si>
  <si>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</si>
  <si>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</si>
  <si>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</si>
  <si>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</si>
  <si>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</si>
  <si>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年齢区分</t>
  </si>
  <si>
    <t/>
  </si>
  <si>
    <t>期間（初日）</t>
    <rPh sb="0" eb="2">
      <t>キカン</t>
    </rPh>
    <rPh sb="3" eb="4">
      <t>ハツ</t>
    </rPh>
    <rPh sb="4" eb="5">
      <t>ビ</t>
    </rPh>
    <phoneticPr fontId="1"/>
  </si>
  <si>
    <t>期間（末日）</t>
    <rPh sb="0" eb="2">
      <t>キカン</t>
    </rPh>
    <rPh sb="3" eb="5">
      <t>マツジツ</t>
    </rPh>
    <phoneticPr fontId="1"/>
  </si>
  <si>
    <t>全体</t>
    <rPh sb="0" eb="2">
      <t>ゼンタイ</t>
    </rPh>
    <phoneticPr fontId="1"/>
  </si>
  <si>
    <t>賃金総額</t>
    <rPh sb="0" eb="2">
      <t>チンギン</t>
    </rPh>
    <rPh sb="2" eb="4">
      <t>ソウガク</t>
    </rPh>
    <phoneticPr fontId="1"/>
  </si>
  <si>
    <t>賃金日額</t>
    <rPh sb="0" eb="2">
      <t>チンギン</t>
    </rPh>
    <rPh sb="2" eb="4">
      <t>ニチガク</t>
    </rPh>
    <phoneticPr fontId="1"/>
  </si>
  <si>
    <t>シリアル値</t>
    <rPh sb="4" eb="5">
      <t>チ</t>
    </rPh>
    <phoneticPr fontId="1"/>
  </si>
  <si>
    <t>差額合計</t>
    <rPh sb="0" eb="2">
      <t>サガク</t>
    </rPh>
    <rPh sb="2" eb="4">
      <t>ゴウケイ</t>
    </rPh>
    <phoneticPr fontId="1"/>
  </si>
  <si>
    <t>平成29年8月1日～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</si>
  <si>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2,470円～4,940円</t>
    <rPh sb="5" eb="6">
      <t>エン</t>
    </rPh>
    <rPh sb="12" eb="13">
      <t>エン</t>
    </rPh>
    <phoneticPr fontId="1"/>
  </si>
  <si>
    <t>4,940円～12,150円</t>
    <rPh sb="5" eb="6">
      <t>エン</t>
    </rPh>
    <rPh sb="13" eb="14">
      <t>エン</t>
    </rPh>
    <phoneticPr fontId="1"/>
  </si>
  <si>
    <t>12,151円～13,430円</t>
    <rPh sb="6" eb="7">
      <t>エン</t>
    </rPh>
    <rPh sb="14" eb="15">
      <t>エン</t>
    </rPh>
    <phoneticPr fontId="1"/>
  </si>
  <si>
    <t>13,431円～</t>
    <rPh sb="6" eb="7">
      <t>エン</t>
    </rPh>
    <phoneticPr fontId="1"/>
  </si>
  <si>
    <t>y=6,715</t>
    <phoneticPr fontId="1"/>
  </si>
  <si>
    <t>12,151円～14,920円</t>
    <rPh sb="6" eb="7">
      <t>エン</t>
    </rPh>
    <rPh sb="14" eb="15">
      <t>エン</t>
    </rPh>
    <phoneticPr fontId="1"/>
  </si>
  <si>
    <t>14,920円～</t>
    <rPh sb="6" eb="7">
      <t>エン</t>
    </rPh>
    <phoneticPr fontId="1"/>
  </si>
  <si>
    <t>y=7,460</t>
    <phoneticPr fontId="1"/>
  </si>
  <si>
    <t>12,151円～16,420円</t>
    <rPh sb="6" eb="7">
      <t>エン</t>
    </rPh>
    <rPh sb="14" eb="15">
      <t>エン</t>
    </rPh>
    <phoneticPr fontId="1"/>
  </si>
  <si>
    <t>16,421円～</t>
    <rPh sb="6" eb="7">
      <t>エン</t>
    </rPh>
    <phoneticPr fontId="1"/>
  </si>
  <si>
    <t>y=8,210</t>
    <phoneticPr fontId="1"/>
  </si>
  <si>
    <t>10,931円～15,660円</t>
    <rPh sb="6" eb="7">
      <t>エン</t>
    </rPh>
    <rPh sb="14" eb="15">
      <t>エン</t>
    </rPh>
    <phoneticPr fontId="1"/>
  </si>
  <si>
    <t>4,940円～10,930円</t>
    <rPh sb="5" eb="6">
      <t>エン</t>
    </rPh>
    <rPh sb="13" eb="14">
      <t>エン</t>
    </rPh>
    <phoneticPr fontId="1"/>
  </si>
  <si>
    <t>15,661円～</t>
    <rPh sb="6" eb="7">
      <t>エン</t>
    </rPh>
    <phoneticPr fontId="1"/>
  </si>
  <si>
    <t>y=7,047</t>
    <phoneticPr fontId="1"/>
  </si>
  <si>
    <t>4,940円～12,140円</t>
    <rPh sb="5" eb="6">
      <t>エン</t>
    </rPh>
    <rPh sb="13" eb="14">
      <t>エン</t>
    </rPh>
    <phoneticPr fontId="1"/>
  </si>
  <si>
    <t>12,141円～13,420円</t>
    <rPh sb="6" eb="7">
      <t>エン</t>
    </rPh>
    <rPh sb="14" eb="15">
      <t>エン</t>
    </rPh>
    <phoneticPr fontId="1"/>
  </si>
  <si>
    <t>13,421円～</t>
    <rPh sb="6" eb="7">
      <t>エン</t>
    </rPh>
    <phoneticPr fontId="1"/>
  </si>
  <si>
    <t>y=6,710</t>
    <phoneticPr fontId="1"/>
  </si>
  <si>
    <t>12,141円～14,910円</t>
    <rPh sb="6" eb="7">
      <t>エン</t>
    </rPh>
    <rPh sb="14" eb="15">
      <t>エン</t>
    </rPh>
    <phoneticPr fontId="1"/>
  </si>
  <si>
    <t>14,911円～</t>
    <rPh sb="6" eb="7">
      <t>エン</t>
    </rPh>
    <phoneticPr fontId="1"/>
  </si>
  <si>
    <t>y=7,455</t>
    <phoneticPr fontId="1"/>
  </si>
  <si>
    <t>12,141円～16,410円</t>
    <rPh sb="6" eb="7">
      <t>エン</t>
    </rPh>
    <rPh sb="14" eb="15">
      <t>エン</t>
    </rPh>
    <phoneticPr fontId="1"/>
  </si>
  <si>
    <t>16,411円～</t>
    <rPh sb="6" eb="7">
      <t>エン</t>
    </rPh>
    <phoneticPr fontId="1"/>
  </si>
  <si>
    <t>y=8,205</t>
    <phoneticPr fontId="1"/>
  </si>
  <si>
    <t>2,480円～4,940円</t>
    <rPh sb="5" eb="6">
      <t>エン</t>
    </rPh>
    <rPh sb="12" eb="13">
      <t>エン</t>
    </rPh>
    <phoneticPr fontId="1"/>
  </si>
  <si>
    <t>4,940円～10,920円</t>
    <rPh sb="5" eb="6">
      <t>エン</t>
    </rPh>
    <rPh sb="13" eb="14">
      <t>エン</t>
    </rPh>
    <phoneticPr fontId="1"/>
  </si>
  <si>
    <t>10,921円～15,650円</t>
    <rPh sb="6" eb="7">
      <t>エン</t>
    </rPh>
    <rPh sb="14" eb="15">
      <t>エン</t>
    </rPh>
    <phoneticPr fontId="1"/>
  </si>
  <si>
    <t>15,651円～</t>
    <rPh sb="6" eb="7">
      <t>エン</t>
    </rPh>
    <phoneticPr fontId="1"/>
  </si>
  <si>
    <t>y=0.05w+4,368</t>
    <phoneticPr fontId="1"/>
  </si>
  <si>
    <t>ｙ＝{-7*(w*w)+130,260w}/119,600</t>
    <phoneticPr fontId="1"/>
  </si>
  <si>
    <t>y=7,042</t>
    <phoneticPr fontId="1"/>
  </si>
  <si>
    <t>平成28年8月1日～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</si>
  <si>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2,300円～4,590円</t>
    <rPh sb="5" eb="6">
      <t>エン</t>
    </rPh>
    <rPh sb="12" eb="13">
      <t>エン</t>
    </rPh>
    <phoneticPr fontId="1"/>
  </si>
  <si>
    <t>4,590円～11,640円</t>
    <rPh sb="5" eb="6">
      <t>エン</t>
    </rPh>
    <rPh sb="13" eb="14">
      <t>エン</t>
    </rPh>
    <phoneticPr fontId="1"/>
  </si>
  <si>
    <t>11,641円～12,760円</t>
    <rPh sb="6" eb="7">
      <t>エン</t>
    </rPh>
    <rPh sb="14" eb="15">
      <t>エン</t>
    </rPh>
    <phoneticPr fontId="1"/>
  </si>
  <si>
    <t>12,761円～</t>
    <rPh sb="6" eb="7">
      <t>エン</t>
    </rPh>
    <phoneticPr fontId="1"/>
  </si>
  <si>
    <t>y=6,380</t>
    <phoneticPr fontId="1"/>
  </si>
  <si>
    <t>11,641円～14,160円</t>
    <rPh sb="6" eb="7">
      <t>エン</t>
    </rPh>
    <rPh sb="14" eb="15">
      <t>エン</t>
    </rPh>
    <phoneticPr fontId="1"/>
  </si>
  <si>
    <t>y=7,080</t>
    <phoneticPr fontId="1"/>
  </si>
  <si>
    <t>y=7,785</t>
    <phoneticPr fontId="1"/>
  </si>
  <si>
    <t>4,590円～10,470円</t>
    <rPh sb="5" eb="6">
      <t>エン</t>
    </rPh>
    <rPh sb="13" eb="14">
      <t>エン</t>
    </rPh>
    <phoneticPr fontId="1"/>
  </si>
  <si>
    <t>y=6,691</t>
    <phoneticPr fontId="1"/>
  </si>
  <si>
    <t>14,871円～</t>
    <rPh sb="6" eb="7">
      <t>エン</t>
    </rPh>
    <phoneticPr fontId="1"/>
  </si>
  <si>
    <t>10,471円～14,870円</t>
    <rPh sb="6" eb="7">
      <t>エン</t>
    </rPh>
    <rPh sb="14" eb="15">
      <t>エン</t>
    </rPh>
    <phoneticPr fontId="1"/>
  </si>
  <si>
    <t>2,290円～4,580円</t>
    <rPh sb="5" eb="6">
      <t>エン</t>
    </rPh>
    <rPh sb="12" eb="13">
      <t>エン</t>
    </rPh>
    <phoneticPr fontId="1"/>
  </si>
  <si>
    <t>4,580円～11,610円</t>
    <rPh sb="5" eb="6">
      <t>エン</t>
    </rPh>
    <rPh sb="13" eb="14">
      <t>エン</t>
    </rPh>
    <phoneticPr fontId="1"/>
  </si>
  <si>
    <t>11,611円～12,740円</t>
    <rPh sb="6" eb="7">
      <t>エン</t>
    </rPh>
    <rPh sb="14" eb="15">
      <t>エン</t>
    </rPh>
    <phoneticPr fontId="1"/>
  </si>
  <si>
    <t>12,741円～</t>
    <rPh sb="6" eb="7">
      <t>エン</t>
    </rPh>
    <phoneticPr fontId="1"/>
  </si>
  <si>
    <t>ｙ＝{-3(ｗ*w)+69,980w}/70,300</t>
  </si>
  <si>
    <t>ｙ＝{-3(ｗ*w)+69,980w}/70,300</t>
    <phoneticPr fontId="1"/>
  </si>
  <si>
    <t>y=6,370</t>
    <phoneticPr fontId="1"/>
  </si>
  <si>
    <t>11,611円～15,550円</t>
    <rPh sb="6" eb="7">
      <t>エン</t>
    </rPh>
    <rPh sb="14" eb="15">
      <t>エン</t>
    </rPh>
    <phoneticPr fontId="1"/>
  </si>
  <si>
    <t>15,551円～</t>
    <rPh sb="6" eb="7">
      <t>エン</t>
    </rPh>
    <phoneticPr fontId="1"/>
  </si>
  <si>
    <t>y=7,775</t>
    <phoneticPr fontId="1"/>
  </si>
  <si>
    <t>y=7,075</t>
    <phoneticPr fontId="1"/>
  </si>
  <si>
    <t>11,611円～14,150円</t>
    <rPh sb="6" eb="7">
      <t>エン</t>
    </rPh>
    <rPh sb="14" eb="15">
      <t>エン</t>
    </rPh>
    <phoneticPr fontId="1"/>
  </si>
  <si>
    <t>14,151円～</t>
    <rPh sb="6" eb="7">
      <t>エン</t>
    </rPh>
    <phoneticPr fontId="1"/>
  </si>
  <si>
    <t>4,580円～10,460円</t>
    <rPh sb="5" eb="6">
      <t>エン</t>
    </rPh>
    <rPh sb="13" eb="14">
      <t>エン</t>
    </rPh>
    <phoneticPr fontId="1"/>
  </si>
  <si>
    <t>10,461円～14,860円</t>
    <rPh sb="6" eb="7">
      <t>エン</t>
    </rPh>
    <rPh sb="14" eb="15">
      <t>エン</t>
    </rPh>
    <phoneticPr fontId="1"/>
  </si>
  <si>
    <t>14,861円～</t>
    <rPh sb="6" eb="7">
      <t>エン</t>
    </rPh>
    <phoneticPr fontId="1"/>
  </si>
  <si>
    <t>y=6,687</t>
    <phoneticPr fontId="1"/>
  </si>
  <si>
    <t>ｙ＝{-7(w*w)+126,140w}/117,600</t>
    <phoneticPr fontId="1"/>
  </si>
  <si>
    <t>y=0.05w+4,184</t>
    <phoneticPr fontId="1"/>
  </si>
  <si>
    <t>平成27年8月1日～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</si>
  <si>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2,300円～4,600円</t>
    <rPh sb="5" eb="6">
      <t>エン</t>
    </rPh>
    <rPh sb="12" eb="13">
      <t>エン</t>
    </rPh>
    <phoneticPr fontId="1"/>
  </si>
  <si>
    <t>4,600円～11,660円</t>
    <rPh sb="5" eb="6">
      <t>エン</t>
    </rPh>
    <rPh sb="13" eb="14">
      <t>エン</t>
    </rPh>
    <phoneticPr fontId="1"/>
  </si>
  <si>
    <t>11,661円～12,790円</t>
    <rPh sb="6" eb="7">
      <t>エン</t>
    </rPh>
    <rPh sb="14" eb="15">
      <t>エン</t>
    </rPh>
    <phoneticPr fontId="1"/>
  </si>
  <si>
    <t>12,791円～</t>
    <rPh sb="6" eb="7">
      <t>エン</t>
    </rPh>
    <phoneticPr fontId="1"/>
  </si>
  <si>
    <t>11,661円～14,210円</t>
    <rPh sb="6" eb="7">
      <t>エン</t>
    </rPh>
    <rPh sb="14" eb="15">
      <t>エン</t>
    </rPh>
    <phoneticPr fontId="1"/>
  </si>
  <si>
    <t>14,211円～</t>
    <rPh sb="6" eb="7">
      <t>エン</t>
    </rPh>
    <phoneticPr fontId="1"/>
  </si>
  <si>
    <t>11,661円～15,620円</t>
    <rPh sb="6" eb="7">
      <t>エン</t>
    </rPh>
    <rPh sb="14" eb="15">
      <t>エン</t>
    </rPh>
    <phoneticPr fontId="1"/>
  </si>
  <si>
    <t>15,621円～</t>
    <rPh sb="6" eb="7">
      <t>エン</t>
    </rPh>
    <phoneticPr fontId="1"/>
  </si>
  <si>
    <t>4,600円～10,500円</t>
    <rPh sb="5" eb="6">
      <t>エン</t>
    </rPh>
    <rPh sb="13" eb="14">
      <t>エン</t>
    </rPh>
    <phoneticPr fontId="1"/>
  </si>
  <si>
    <t>10,501円～14,920円</t>
    <rPh sb="6" eb="7">
      <t>エン</t>
    </rPh>
    <rPh sb="14" eb="15">
      <t>エン</t>
    </rPh>
    <phoneticPr fontId="1"/>
  </si>
  <si>
    <t>14,921円～</t>
    <rPh sb="6" eb="7">
      <t>エン</t>
    </rPh>
    <phoneticPr fontId="1"/>
  </si>
  <si>
    <t>14,161円～</t>
    <rPh sb="6" eb="7">
      <t>エン</t>
    </rPh>
    <phoneticPr fontId="1"/>
  </si>
  <si>
    <t>2,310円～4,620円</t>
    <rPh sb="5" eb="6">
      <t>エン</t>
    </rPh>
    <rPh sb="12" eb="13">
      <t>エン</t>
    </rPh>
    <phoneticPr fontId="1"/>
  </si>
  <si>
    <t>4,620円～11,710円</t>
    <rPh sb="5" eb="6">
      <t>エン</t>
    </rPh>
    <rPh sb="13" eb="14">
      <t>エン</t>
    </rPh>
    <phoneticPr fontId="1"/>
  </si>
  <si>
    <t>11,711円～12,830円</t>
    <rPh sb="6" eb="7">
      <t>エン</t>
    </rPh>
    <rPh sb="14" eb="15">
      <t>エン</t>
    </rPh>
    <phoneticPr fontId="1"/>
  </si>
  <si>
    <t>12,831円～</t>
    <rPh sb="6" eb="7">
      <t>エン</t>
    </rPh>
    <phoneticPr fontId="1"/>
  </si>
  <si>
    <t>11,711円～14,240円</t>
    <rPh sb="6" eb="7">
      <t>エン</t>
    </rPh>
    <rPh sb="14" eb="15">
      <t>エン</t>
    </rPh>
    <phoneticPr fontId="1"/>
  </si>
  <si>
    <t>14,241円～</t>
    <rPh sb="6" eb="7">
      <t>エン</t>
    </rPh>
    <phoneticPr fontId="1"/>
  </si>
  <si>
    <t>11,711円～15,660円</t>
    <rPh sb="6" eb="7">
      <t>エン</t>
    </rPh>
    <rPh sb="14" eb="15">
      <t>エン</t>
    </rPh>
    <phoneticPr fontId="1"/>
  </si>
  <si>
    <t>4,620円～10,530円</t>
    <rPh sb="5" eb="6">
      <t>エン</t>
    </rPh>
    <rPh sb="13" eb="14">
      <t>エン</t>
    </rPh>
    <phoneticPr fontId="1"/>
  </si>
  <si>
    <t>10,531円～14,960円</t>
    <rPh sb="6" eb="7">
      <t>エン</t>
    </rPh>
    <rPh sb="14" eb="15">
      <t>エン</t>
    </rPh>
    <phoneticPr fontId="1"/>
  </si>
  <si>
    <t>14,961円～</t>
    <rPh sb="6" eb="7">
      <t>エン</t>
    </rPh>
    <phoneticPr fontId="1"/>
  </si>
  <si>
    <t>y=6,415</t>
    <phoneticPr fontId="1"/>
  </si>
  <si>
    <t>y=0.5w</t>
    <phoneticPr fontId="1"/>
  </si>
  <si>
    <t>y=7,120</t>
    <phoneticPr fontId="1"/>
  </si>
  <si>
    <t>ｙ＝0.8ｗ</t>
    <phoneticPr fontId="1"/>
  </si>
  <si>
    <t>y=7,830</t>
    <phoneticPr fontId="1"/>
  </si>
  <si>
    <t>y=6,732</t>
    <phoneticPr fontId="1"/>
  </si>
  <si>
    <t>ｙ＝{-3(ｗ*w)+70,280w}/70,600</t>
    <phoneticPr fontId="1"/>
  </si>
  <si>
    <t>y=6,395</t>
    <phoneticPr fontId="1"/>
  </si>
  <si>
    <t>y=7,105</t>
    <phoneticPr fontId="1"/>
  </si>
  <si>
    <t>y=7,810</t>
    <phoneticPr fontId="1"/>
  </si>
  <si>
    <t>ｙ＝{-7(w*w)+126,600w}/118,000</t>
    <phoneticPr fontId="1"/>
  </si>
  <si>
    <t>y=0.05w+4,200</t>
    <phoneticPr fontId="1"/>
  </si>
  <si>
    <t>y=6,714</t>
    <phoneticPr fontId="1"/>
  </si>
  <si>
    <t>平成26年8月1日～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</si>
  <si>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2,310円～4,610円</t>
    <rPh sb="5" eb="6">
      <t>エン</t>
    </rPh>
    <rPh sb="12" eb="13">
      <t>エン</t>
    </rPh>
    <phoneticPr fontId="1"/>
  </si>
  <si>
    <t>4,610円～11,690円</t>
    <rPh sb="5" eb="6">
      <t>エン</t>
    </rPh>
    <rPh sb="13" eb="14">
      <t>エン</t>
    </rPh>
    <phoneticPr fontId="1"/>
  </si>
  <si>
    <t>11,691円～12,810円</t>
    <rPh sb="6" eb="7">
      <t>エン</t>
    </rPh>
    <rPh sb="14" eb="15">
      <t>エン</t>
    </rPh>
    <phoneticPr fontId="1"/>
  </si>
  <si>
    <t>12,811円～</t>
    <rPh sb="6" eb="7">
      <t>エン</t>
    </rPh>
    <phoneticPr fontId="1"/>
  </si>
  <si>
    <t>y=6,405</t>
    <phoneticPr fontId="1"/>
  </si>
  <si>
    <t>11,691円～14,220円</t>
    <rPh sb="6" eb="7">
      <t>エン</t>
    </rPh>
    <rPh sb="14" eb="15">
      <t>エン</t>
    </rPh>
    <phoneticPr fontId="1"/>
  </si>
  <si>
    <t>14,221円～</t>
    <rPh sb="6" eb="7">
      <t>エン</t>
    </rPh>
    <phoneticPr fontId="1"/>
  </si>
  <si>
    <t>y=7,110</t>
    <phoneticPr fontId="1"/>
  </si>
  <si>
    <t>11,691円～15,640円</t>
    <rPh sb="6" eb="7">
      <t>エン</t>
    </rPh>
    <rPh sb="14" eb="15">
      <t>エン</t>
    </rPh>
    <phoneticPr fontId="1"/>
  </si>
  <si>
    <t>15,641円～</t>
    <rPh sb="6" eb="7">
      <t>エン</t>
    </rPh>
    <phoneticPr fontId="1"/>
  </si>
  <si>
    <t>y=7,820</t>
    <phoneticPr fontId="1"/>
  </si>
  <si>
    <t>y=6,723</t>
    <phoneticPr fontId="1"/>
  </si>
  <si>
    <t>10,511円～14,940円</t>
    <rPh sb="6" eb="7">
      <t>エン</t>
    </rPh>
    <rPh sb="14" eb="15">
      <t>エン</t>
    </rPh>
    <phoneticPr fontId="1"/>
  </si>
  <si>
    <t>4,610円～10,510円</t>
    <rPh sb="5" eb="6">
      <t>エン</t>
    </rPh>
    <rPh sb="13" eb="14">
      <t>エン</t>
    </rPh>
    <phoneticPr fontId="1"/>
  </si>
  <si>
    <t>14,941円～</t>
    <rPh sb="6" eb="7">
      <t>エン</t>
    </rPh>
    <phoneticPr fontId="1"/>
  </si>
  <si>
    <t>4,600円～11,650円</t>
    <rPh sb="5" eb="6">
      <t>エン</t>
    </rPh>
    <rPh sb="13" eb="14">
      <t>エン</t>
    </rPh>
    <phoneticPr fontId="1"/>
  </si>
  <si>
    <t>ｙ＝{-(ｗ*w)+23,400w}/23,500</t>
    <phoneticPr fontId="1"/>
  </si>
  <si>
    <t>y=6,390</t>
    <phoneticPr fontId="1"/>
  </si>
  <si>
    <t>12,781円～</t>
    <rPh sb="6" eb="7">
      <t>エン</t>
    </rPh>
    <phoneticPr fontId="1"/>
  </si>
  <si>
    <t>11,651円～12,780円</t>
    <rPh sb="6" eb="7">
      <t>エン</t>
    </rPh>
    <rPh sb="14" eb="15">
      <t>エン</t>
    </rPh>
    <phoneticPr fontId="1"/>
  </si>
  <si>
    <t>11,651円～14,200円</t>
    <rPh sb="6" eb="7">
      <t>エン</t>
    </rPh>
    <rPh sb="14" eb="15">
      <t>エン</t>
    </rPh>
    <phoneticPr fontId="1"/>
  </si>
  <si>
    <t>y=7,100</t>
    <phoneticPr fontId="1"/>
  </si>
  <si>
    <t>11,651円～15,610円</t>
    <rPh sb="6" eb="7">
      <t>エン</t>
    </rPh>
    <rPh sb="14" eb="15">
      <t>エン</t>
    </rPh>
    <phoneticPr fontId="1"/>
  </si>
  <si>
    <t>15,610円～</t>
    <rPh sb="6" eb="7">
      <t>エン</t>
    </rPh>
    <phoneticPr fontId="1"/>
  </si>
  <si>
    <t>y=7,805</t>
    <phoneticPr fontId="1"/>
  </si>
  <si>
    <t>4,600円～10,490円</t>
    <rPh sb="5" eb="6">
      <t>エン</t>
    </rPh>
    <rPh sb="13" eb="14">
      <t>エン</t>
    </rPh>
    <phoneticPr fontId="1"/>
  </si>
  <si>
    <t>ｙ＝{-7(w*w)+126,600w}/117,800</t>
    <phoneticPr fontId="1"/>
  </si>
  <si>
    <t>y=0.05w+4,196</t>
    <phoneticPr fontId="1"/>
  </si>
  <si>
    <t>y=6,709</t>
    <phoneticPr fontId="1"/>
  </si>
  <si>
    <t>10,491円～14,910円</t>
    <rPh sb="6" eb="7">
      <t>エン</t>
    </rPh>
    <rPh sb="14" eb="15">
      <t>エン</t>
    </rPh>
    <phoneticPr fontId="1"/>
  </si>
  <si>
    <t>平成25年8月1日～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</si>
  <si>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y=6,405</t>
    <phoneticPr fontId="1"/>
  </si>
  <si>
    <t>11,691円～14,230円</t>
    <rPh sb="6" eb="7">
      <t>エン</t>
    </rPh>
    <rPh sb="14" eb="15">
      <t>エン</t>
    </rPh>
    <phoneticPr fontId="1"/>
  </si>
  <si>
    <t>14,231円～</t>
    <rPh sb="6" eb="7">
      <t>エン</t>
    </rPh>
    <phoneticPr fontId="1"/>
  </si>
  <si>
    <t>y=7,115</t>
    <phoneticPr fontId="1"/>
  </si>
  <si>
    <t>11,691円～15,650円</t>
    <rPh sb="6" eb="7">
      <t>エン</t>
    </rPh>
    <rPh sb="14" eb="15">
      <t>エン</t>
    </rPh>
    <phoneticPr fontId="1"/>
  </si>
  <si>
    <t>y=7,825</t>
    <phoneticPr fontId="1"/>
  </si>
  <si>
    <t>y=6,727</t>
    <phoneticPr fontId="1"/>
  </si>
  <si>
    <t>14,951円～</t>
    <rPh sb="6" eb="7">
      <t>エン</t>
    </rPh>
    <phoneticPr fontId="1"/>
  </si>
  <si>
    <t>10,511円～14,950円</t>
    <rPh sb="6" eb="7">
      <t>エン</t>
    </rPh>
    <rPh sb="14" eb="15">
      <t>エン</t>
    </rPh>
    <phoneticPr fontId="1"/>
  </si>
  <si>
    <t>4,610円～11,680円</t>
    <rPh sb="5" eb="6">
      <t>エン</t>
    </rPh>
    <rPh sb="13" eb="14">
      <t>エン</t>
    </rPh>
    <phoneticPr fontId="1"/>
  </si>
  <si>
    <t>11,681円～12,810円</t>
    <rPh sb="6" eb="7">
      <t>エン</t>
    </rPh>
    <rPh sb="14" eb="15">
      <t>エン</t>
    </rPh>
    <phoneticPr fontId="1"/>
  </si>
  <si>
    <t>y=6,405</t>
    <phoneticPr fontId="1"/>
  </si>
  <si>
    <t>ｙ＝{-3(ｗ*w)+70,390w}/70,700</t>
    <phoneticPr fontId="1"/>
  </si>
  <si>
    <t>y=7,115</t>
    <phoneticPr fontId="1"/>
  </si>
  <si>
    <t>11,681円～15,660円</t>
    <rPh sb="6" eb="7">
      <t>エン</t>
    </rPh>
    <rPh sb="14" eb="15">
      <t>エン</t>
    </rPh>
    <phoneticPr fontId="1"/>
  </si>
  <si>
    <t>y=6,723</t>
    <phoneticPr fontId="1"/>
  </si>
  <si>
    <t>ｙ＝{-7(w*w)+126,670w}/118,000</t>
    <phoneticPr fontId="1"/>
  </si>
  <si>
    <t>y=0.05w+4,204</t>
    <phoneticPr fontId="1"/>
  </si>
  <si>
    <t>11,681円～14,230円</t>
    <rPh sb="6" eb="7">
      <t>エン</t>
    </rPh>
    <rPh sb="14" eb="15">
      <t>エン</t>
    </rPh>
    <phoneticPr fontId="1"/>
  </si>
  <si>
    <t>平成24年8月1日～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</si>
  <si>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2,320円～4,640円</t>
    <rPh sb="5" eb="6">
      <t>エン</t>
    </rPh>
    <rPh sb="12" eb="13">
      <t>エン</t>
    </rPh>
    <phoneticPr fontId="1"/>
  </si>
  <si>
    <t>4,640円～11,750円</t>
    <rPh sb="5" eb="6">
      <t>エン</t>
    </rPh>
    <rPh sb="13" eb="14">
      <t>エン</t>
    </rPh>
    <phoneticPr fontId="1"/>
  </si>
  <si>
    <t>11,751円～12,880円</t>
    <rPh sb="6" eb="7">
      <t>エン</t>
    </rPh>
    <rPh sb="14" eb="15">
      <t>エン</t>
    </rPh>
    <phoneticPr fontId="1"/>
  </si>
  <si>
    <t>12,881円～</t>
    <rPh sb="6" eb="7">
      <t>エン</t>
    </rPh>
    <phoneticPr fontId="1"/>
  </si>
  <si>
    <t>y=6,440</t>
    <phoneticPr fontId="1"/>
  </si>
  <si>
    <t>14,311円～</t>
    <rPh sb="6" eb="7">
      <t>エン</t>
    </rPh>
    <phoneticPr fontId="1"/>
  </si>
  <si>
    <t>11,751円～14,310円</t>
    <rPh sb="6" eb="7">
      <t>エン</t>
    </rPh>
    <rPh sb="14" eb="15">
      <t>エン</t>
    </rPh>
    <phoneticPr fontId="1"/>
  </si>
  <si>
    <t>y=7,155</t>
    <phoneticPr fontId="1"/>
  </si>
  <si>
    <t>11,751円～15,740円</t>
    <rPh sb="6" eb="7">
      <t>エン</t>
    </rPh>
    <rPh sb="14" eb="15">
      <t>エン</t>
    </rPh>
    <phoneticPr fontId="1"/>
  </si>
  <si>
    <t>y=7,870</t>
    <phoneticPr fontId="1"/>
  </si>
  <si>
    <t>4,640円～10,570円</t>
    <rPh sb="5" eb="6">
      <t>エン</t>
    </rPh>
    <rPh sb="13" eb="14">
      <t>エン</t>
    </rPh>
    <phoneticPr fontId="1"/>
  </si>
  <si>
    <t>y=6,763</t>
    <phoneticPr fontId="1"/>
  </si>
  <si>
    <t>15,031円～</t>
    <rPh sb="6" eb="7">
      <t>エン</t>
    </rPh>
    <phoneticPr fontId="1"/>
  </si>
  <si>
    <t>10,571円～15,030円</t>
    <rPh sb="6" eb="7">
      <t>エン</t>
    </rPh>
    <rPh sb="14" eb="15">
      <t>エン</t>
    </rPh>
    <phoneticPr fontId="1"/>
  </si>
  <si>
    <t>4,640円～11,740円</t>
    <rPh sb="5" eb="6">
      <t>エン</t>
    </rPh>
    <rPh sb="13" eb="14">
      <t>エン</t>
    </rPh>
    <phoneticPr fontId="1"/>
  </si>
  <si>
    <t>11,741円～14,310円</t>
    <rPh sb="6" eb="7">
      <t>エン</t>
    </rPh>
    <rPh sb="14" eb="15">
      <t>エン</t>
    </rPh>
    <phoneticPr fontId="1"/>
  </si>
  <si>
    <t>ｙ＝{-3(ｗ*w)+70,720w}/71,000</t>
    <phoneticPr fontId="1"/>
  </si>
  <si>
    <t>y=6,440</t>
    <phoneticPr fontId="1"/>
  </si>
  <si>
    <t>11,741円～12,880円</t>
    <rPh sb="6" eb="7">
      <t>エン</t>
    </rPh>
    <rPh sb="14" eb="15">
      <t>エン</t>
    </rPh>
    <phoneticPr fontId="1"/>
  </si>
  <si>
    <t>y=7,870</t>
    <phoneticPr fontId="1"/>
  </si>
  <si>
    <t>11,741円～15,740円</t>
    <rPh sb="6" eb="7">
      <t>エン</t>
    </rPh>
    <rPh sb="14" eb="15">
      <t>エン</t>
    </rPh>
    <phoneticPr fontId="1"/>
  </si>
  <si>
    <t>y=7,155</t>
    <phoneticPr fontId="1"/>
  </si>
  <si>
    <t>ｙ＝{-7(w*w)+127,360w}/118,600</t>
    <phoneticPr fontId="1"/>
  </si>
  <si>
    <t>y=0.05w+4,228</t>
    <phoneticPr fontId="1"/>
  </si>
  <si>
    <t>10,571円～15,020円</t>
    <rPh sb="6" eb="7">
      <t>エン</t>
    </rPh>
    <rPh sb="14" eb="15">
      <t>エン</t>
    </rPh>
    <phoneticPr fontId="1"/>
  </si>
  <si>
    <t>15,021円～</t>
    <rPh sb="6" eb="7">
      <t>エン</t>
    </rPh>
    <phoneticPr fontId="1"/>
  </si>
  <si>
    <t>y=6,759</t>
    <phoneticPr fontId="1"/>
  </si>
  <si>
    <t>平成23年8月1日～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</si>
  <si>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2,330円～4,650円</t>
    <rPh sb="5" eb="6">
      <t>エン</t>
    </rPh>
    <rPh sb="12" eb="13">
      <t>エン</t>
    </rPh>
    <phoneticPr fontId="1"/>
  </si>
  <si>
    <t>4,650円～11,780円</t>
    <rPh sb="5" eb="6">
      <t>エン</t>
    </rPh>
    <rPh sb="13" eb="14">
      <t>エン</t>
    </rPh>
    <phoneticPr fontId="1"/>
  </si>
  <si>
    <t>11,781円～12,910円</t>
    <rPh sb="6" eb="7">
      <t>エン</t>
    </rPh>
    <rPh sb="14" eb="15">
      <t>エン</t>
    </rPh>
    <phoneticPr fontId="1"/>
  </si>
  <si>
    <t>12,911円～</t>
    <rPh sb="6" eb="7">
      <t>エン</t>
    </rPh>
    <phoneticPr fontId="1"/>
  </si>
  <si>
    <t>y=6,455</t>
    <phoneticPr fontId="1"/>
  </si>
  <si>
    <t>11,781円～14,340円</t>
    <rPh sb="6" eb="7">
      <t>エン</t>
    </rPh>
    <rPh sb="14" eb="15">
      <t>エン</t>
    </rPh>
    <phoneticPr fontId="1"/>
  </si>
  <si>
    <t>14,341円～</t>
    <rPh sb="6" eb="7">
      <t>エン</t>
    </rPh>
    <phoneticPr fontId="1"/>
  </si>
  <si>
    <t>y=7,170</t>
    <phoneticPr fontId="1"/>
  </si>
  <si>
    <t>11,781円～15,780円</t>
    <rPh sb="6" eb="7">
      <t>エン</t>
    </rPh>
    <rPh sb="14" eb="15">
      <t>エン</t>
    </rPh>
    <phoneticPr fontId="1"/>
  </si>
  <si>
    <t>15,781円～</t>
    <rPh sb="6" eb="7">
      <t>エン</t>
    </rPh>
    <phoneticPr fontId="1"/>
  </si>
  <si>
    <t>y=7,890</t>
    <phoneticPr fontId="1"/>
  </si>
  <si>
    <t>4,650円～10,600円</t>
    <rPh sb="5" eb="6">
      <t>エン</t>
    </rPh>
    <rPh sb="13" eb="14">
      <t>エン</t>
    </rPh>
    <phoneticPr fontId="1"/>
  </si>
  <si>
    <t>y=6,781</t>
    <phoneticPr fontId="1"/>
  </si>
  <si>
    <t>10,601円～15,070円</t>
    <rPh sb="6" eb="7">
      <t>エン</t>
    </rPh>
    <rPh sb="14" eb="15">
      <t>エン</t>
    </rPh>
    <phoneticPr fontId="1"/>
  </si>
  <si>
    <t>15,071円～</t>
    <rPh sb="6" eb="7">
      <t>エン</t>
    </rPh>
    <phoneticPr fontId="1"/>
  </si>
  <si>
    <t>4,650円～11,770円</t>
    <rPh sb="5" eb="6">
      <t>エン</t>
    </rPh>
    <rPh sb="13" eb="14">
      <t>エン</t>
    </rPh>
    <phoneticPr fontId="1"/>
  </si>
  <si>
    <t>11,771円～12,910円</t>
    <rPh sb="6" eb="7">
      <t>エン</t>
    </rPh>
    <rPh sb="14" eb="15">
      <t>エン</t>
    </rPh>
    <phoneticPr fontId="1"/>
  </si>
  <si>
    <t>y=6,455</t>
    <phoneticPr fontId="1"/>
  </si>
  <si>
    <t>ｙ＝{-3(ｗ*w)+70,910w}/71,200</t>
    <phoneticPr fontId="1"/>
  </si>
  <si>
    <t>y=7,170</t>
    <phoneticPr fontId="1"/>
  </si>
  <si>
    <t>11,771円～14,340円</t>
    <rPh sb="6" eb="7">
      <t>エン</t>
    </rPh>
    <rPh sb="14" eb="15">
      <t>エン</t>
    </rPh>
    <phoneticPr fontId="1"/>
  </si>
  <si>
    <t>11,771円～15,780円</t>
    <rPh sb="6" eb="7">
      <t>エン</t>
    </rPh>
    <rPh sb="14" eb="15">
      <t>エン</t>
    </rPh>
    <phoneticPr fontId="1"/>
  </si>
  <si>
    <t>ｙ＝{-7(w*w)+127,750w}/119,000</t>
    <phoneticPr fontId="1"/>
  </si>
  <si>
    <t>y=0.05w+4,240</t>
    <phoneticPr fontId="1"/>
  </si>
  <si>
    <t>10,601円～15,060円</t>
    <rPh sb="6" eb="7">
      <t>エン</t>
    </rPh>
    <rPh sb="14" eb="15">
      <t>エン</t>
    </rPh>
    <phoneticPr fontId="1"/>
  </si>
  <si>
    <t>15,061円～</t>
    <rPh sb="6" eb="7">
      <t>エン</t>
    </rPh>
    <phoneticPr fontId="1"/>
  </si>
  <si>
    <t>y=6,777</t>
    <phoneticPr fontId="1"/>
  </si>
  <si>
    <t>平成22年8月1日～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</si>
  <si>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2,010円～3,970円</t>
    <rPh sb="5" eb="6">
      <t>エン</t>
    </rPh>
    <rPh sb="12" eb="13">
      <t>エン</t>
    </rPh>
    <phoneticPr fontId="1"/>
  </si>
  <si>
    <t>3,970円～11,490円</t>
    <rPh sb="5" eb="6">
      <t>エン</t>
    </rPh>
    <rPh sb="13" eb="14">
      <t>エン</t>
    </rPh>
    <phoneticPr fontId="1"/>
  </si>
  <si>
    <t>11,491円～12,360円</t>
    <rPh sb="6" eb="7">
      <t>エン</t>
    </rPh>
    <rPh sb="14" eb="15">
      <t>エン</t>
    </rPh>
    <phoneticPr fontId="1"/>
  </si>
  <si>
    <t>12,361円～</t>
    <rPh sb="6" eb="7">
      <t>エン</t>
    </rPh>
    <phoneticPr fontId="1"/>
  </si>
  <si>
    <t>ｙ＝0.8ｗ-0.3{(w-3,970)/(11,490-3,970)}ｗ</t>
    <phoneticPr fontId="1"/>
  </si>
  <si>
    <t>ｙ＝0.8ｗ-0.3{(w-4,970)/(12,220-4,970)}ｗ</t>
  </si>
  <si>
    <t>ｙ＝0.8ｗ-0.3{(w-4,970)/(12,220-4,970)}ｗ</t>
    <phoneticPr fontId="1"/>
  </si>
  <si>
    <t>ｙ＝0.8ｗ-0.35{(w-4,970)/(10,990-4,970)}ｗ</t>
    <phoneticPr fontId="1"/>
  </si>
  <si>
    <t>y=0.05w+(10,990×0.4)</t>
    <phoneticPr fontId="1"/>
  </si>
  <si>
    <t>y=0.05w+(10,980×0.4)</t>
    <phoneticPr fontId="1"/>
  </si>
  <si>
    <t>ｙ＝0.8ｗ-0.35{(w-4,970)/(10,980-4,970)}ｗ</t>
    <phoneticPr fontId="1"/>
  </si>
  <si>
    <t>ｙ＝0.8ｗ-0.3{(w-4,970)/(12,210-4,970)}ｗ</t>
  </si>
  <si>
    <t>ｙ＝0.8ｗ-0.3{(w-4,970)/(12,210-4,970)}ｗ</t>
    <phoneticPr fontId="1"/>
  </si>
  <si>
    <t>ｙ＝0.8ｗ-0.3{(w-4,940)/(12,150-4,940)}ｗ</t>
  </si>
  <si>
    <t>ｙ＝0.8ｗ-0.3{(w-4,940)/(12,150-4,940)}ｗ</t>
    <phoneticPr fontId="1"/>
  </si>
  <si>
    <t>y=0.05w+(10,930×0.4)</t>
    <phoneticPr fontId="1"/>
  </si>
  <si>
    <t>ｙ＝0.8ｗ-0.35{(w-4,940)/(10,930-4,940)}ｗ</t>
    <phoneticPr fontId="1"/>
  </si>
  <si>
    <t>ｙ＝{-(ｗ*w)+24,140w}/24,000</t>
  </si>
  <si>
    <t>ｙ＝{-(ｗ*w)+24,140w}/24,000</t>
    <phoneticPr fontId="1"/>
  </si>
  <si>
    <t>ｙ＝0.8ｗ-0.3{(w-4,590)/(11,640-4,590)}ｗ</t>
  </si>
  <si>
    <t>ｙ＝0.8ｗ-0.3{(w-4,590)/(11,640-4,590)}ｗ</t>
    <phoneticPr fontId="1"/>
  </si>
  <si>
    <t>ｙ＝0.8ｗ-0.35{(w-4,590)/(10,470-4,590)}ｗ</t>
    <phoneticPr fontId="1"/>
  </si>
  <si>
    <t>y=0.05w+(10,470×0.4)</t>
    <phoneticPr fontId="1"/>
  </si>
  <si>
    <t>ｙ＝0.8ｗ-0.3{(w-4,620)/(11,710-4,620)}ｗ</t>
    <phoneticPr fontId="1"/>
  </si>
  <si>
    <t>ｙ＝0.8ｗ-0.35{(w-4,620)/(10,530-4,620)}ｗ</t>
    <phoneticPr fontId="1"/>
  </si>
  <si>
    <t>y=0.05w+(10,530×0.4)</t>
    <phoneticPr fontId="1"/>
  </si>
  <si>
    <t>ｙ＝0.8ｗ-0.3{(w-4,610)/(11,690-4,610)}ｗ</t>
    <phoneticPr fontId="1"/>
  </si>
  <si>
    <t>ｙ＝0.8ｗ-0.35{(w-4,610)/(10,510-4,610)}ｗ</t>
    <phoneticPr fontId="1"/>
  </si>
  <si>
    <t>y=0.05w+(10,510×0.4)</t>
    <phoneticPr fontId="1"/>
  </si>
  <si>
    <t>ｙ＝0.8ｗ-0.3{(w-4,610)/(11,690-4,610)}ｗ</t>
    <phoneticPr fontId="1"/>
  </si>
  <si>
    <t>y=0.05w+(10,570×0.4)</t>
    <phoneticPr fontId="1"/>
  </si>
  <si>
    <t>ｙ＝0.8ｗ-0.35{(w-4,640)/(10,570-4,640)}ｗ</t>
    <phoneticPr fontId="1"/>
  </si>
  <si>
    <t>ｙ＝0.8ｗ-0.3{(w-4,640)/(11,750-4,640)}ｗ</t>
    <phoneticPr fontId="1"/>
  </si>
  <si>
    <t>ｙ＝0.8ｗ-0.3{(w-4,650)/(11,780-4,650)}ｗ</t>
    <phoneticPr fontId="1"/>
  </si>
  <si>
    <t>ｙ＝0.8ｗ-0.35{(w-4,650)/(10,600-4,650)}ｗ</t>
    <phoneticPr fontId="1"/>
  </si>
  <si>
    <t>y=0.05w+(10,600×0.4)</t>
    <phoneticPr fontId="1"/>
  </si>
  <si>
    <t>11,491円～13,730円</t>
    <rPh sb="6" eb="7">
      <t>エン</t>
    </rPh>
    <rPh sb="14" eb="15">
      <t>エン</t>
    </rPh>
    <phoneticPr fontId="1"/>
  </si>
  <si>
    <t>y=6,180</t>
    <phoneticPr fontId="1"/>
  </si>
  <si>
    <t>13,731円～</t>
    <rPh sb="6" eb="7">
      <t>エン</t>
    </rPh>
    <phoneticPr fontId="1"/>
  </si>
  <si>
    <t>y=6,865</t>
    <phoneticPr fontId="1"/>
  </si>
  <si>
    <t>11,491円～15,120円</t>
    <rPh sb="6" eb="7">
      <t>エン</t>
    </rPh>
    <rPh sb="14" eb="15">
      <t>エン</t>
    </rPh>
    <phoneticPr fontId="1"/>
  </si>
  <si>
    <t>15,121円～</t>
    <rPh sb="6" eb="7">
      <t>エン</t>
    </rPh>
    <phoneticPr fontId="1"/>
  </si>
  <si>
    <t>y=7,560</t>
    <phoneticPr fontId="1"/>
  </si>
  <si>
    <t>3,970円～10,290円</t>
    <rPh sb="5" eb="6">
      <t>エン</t>
    </rPh>
    <rPh sb="13" eb="14">
      <t>エン</t>
    </rPh>
    <phoneticPr fontId="1"/>
  </si>
  <si>
    <t>ｙ＝0.8ｗ-0.35{(w-3,970)/(10,290-3,970)}ｗ</t>
    <phoneticPr fontId="1"/>
  </si>
  <si>
    <t>y=0.05w+(10,290×0.4)</t>
    <phoneticPr fontId="1"/>
  </si>
  <si>
    <t>y=6,588</t>
    <phoneticPr fontId="1"/>
  </si>
  <si>
    <t>10,291円～14,640円</t>
    <rPh sb="6" eb="7">
      <t>エン</t>
    </rPh>
    <rPh sb="14" eb="15">
      <t>エン</t>
    </rPh>
    <phoneticPr fontId="1"/>
  </si>
  <si>
    <t>14,641円～</t>
    <rPh sb="6" eb="7">
      <t>エン</t>
    </rPh>
    <phoneticPr fontId="1"/>
  </si>
  <si>
    <t>2,000円～3,950円</t>
    <rPh sb="5" eb="6">
      <t>エン</t>
    </rPh>
    <rPh sb="12" eb="13">
      <t>エン</t>
    </rPh>
    <phoneticPr fontId="1"/>
  </si>
  <si>
    <t>3,950円～11,410円</t>
    <rPh sb="5" eb="6">
      <t>エン</t>
    </rPh>
    <rPh sb="13" eb="14">
      <t>エン</t>
    </rPh>
    <phoneticPr fontId="1"/>
  </si>
  <si>
    <t>11,411円～12,290円</t>
    <rPh sb="6" eb="7">
      <t>エン</t>
    </rPh>
    <rPh sb="14" eb="15">
      <t>エン</t>
    </rPh>
    <phoneticPr fontId="1"/>
  </si>
  <si>
    <t>12,291円～</t>
    <rPh sb="6" eb="7">
      <t>エン</t>
    </rPh>
    <phoneticPr fontId="1"/>
  </si>
  <si>
    <t>ｙ＝{-3(ｗ*w)+71,530w}/74,600</t>
    <phoneticPr fontId="1"/>
  </si>
  <si>
    <t>11,411円～13,650円</t>
    <rPh sb="6" eb="7">
      <t>エン</t>
    </rPh>
    <rPh sb="14" eb="15">
      <t>エン</t>
    </rPh>
    <phoneticPr fontId="1"/>
  </si>
  <si>
    <t>13,651円～</t>
    <rPh sb="6" eb="7">
      <t>エン</t>
    </rPh>
    <phoneticPr fontId="1"/>
  </si>
  <si>
    <t>y=6,145</t>
    <phoneticPr fontId="1"/>
  </si>
  <si>
    <t>y=6,825</t>
    <phoneticPr fontId="1"/>
  </si>
  <si>
    <t>y=7,505</t>
    <phoneticPr fontId="1"/>
  </si>
  <si>
    <t>11,411円～15,010円</t>
    <rPh sb="6" eb="7">
      <t>エン</t>
    </rPh>
    <rPh sb="14" eb="15">
      <t>エン</t>
    </rPh>
    <phoneticPr fontId="1"/>
  </si>
  <si>
    <t>3,950円～10,230円</t>
    <rPh sb="5" eb="6">
      <t>エン</t>
    </rPh>
    <rPh sb="13" eb="14">
      <t>エン</t>
    </rPh>
    <phoneticPr fontId="1"/>
  </si>
  <si>
    <t>10,231円～14,540円</t>
    <rPh sb="6" eb="7">
      <t>エン</t>
    </rPh>
    <rPh sb="14" eb="15">
      <t>エン</t>
    </rPh>
    <phoneticPr fontId="1"/>
  </si>
  <si>
    <t>14,541円～</t>
    <rPh sb="6" eb="7">
      <t>エン</t>
    </rPh>
    <phoneticPr fontId="1"/>
  </si>
  <si>
    <t>y=6,543</t>
    <phoneticPr fontId="1"/>
  </si>
  <si>
    <t>ｙ＝{-7(w*w)+128,130w}/125,600</t>
    <phoneticPr fontId="1"/>
  </si>
  <si>
    <t>y=0.05w+4,092</t>
    <phoneticPr fontId="1"/>
  </si>
  <si>
    <t>平成21年8月1日～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</si>
  <si>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2,060円～4,060円</t>
    <rPh sb="5" eb="6">
      <t>エン</t>
    </rPh>
    <rPh sb="12" eb="13">
      <t>エン</t>
    </rPh>
    <phoneticPr fontId="1"/>
  </si>
  <si>
    <t>4,060円～11,760円</t>
    <rPh sb="5" eb="6">
      <t>エン</t>
    </rPh>
    <rPh sb="13" eb="14">
      <t>エン</t>
    </rPh>
    <phoneticPr fontId="1"/>
  </si>
  <si>
    <t>11,761円～12,660円</t>
    <rPh sb="6" eb="7">
      <t>エン</t>
    </rPh>
    <rPh sb="14" eb="15">
      <t>エン</t>
    </rPh>
    <phoneticPr fontId="1"/>
  </si>
  <si>
    <t>12,661円～</t>
    <rPh sb="6" eb="7">
      <t>エン</t>
    </rPh>
    <phoneticPr fontId="1"/>
  </si>
  <si>
    <t>ｙ＝0.8ｗ-0.3{(w-4,060)/(11,760-4,060)}ｗ</t>
    <phoneticPr fontId="1"/>
  </si>
  <si>
    <t>y=6,330</t>
    <phoneticPr fontId="1"/>
  </si>
  <si>
    <t>11,761円～14,060円</t>
    <rPh sb="6" eb="7">
      <t>エン</t>
    </rPh>
    <rPh sb="14" eb="15">
      <t>エン</t>
    </rPh>
    <phoneticPr fontId="1"/>
  </si>
  <si>
    <t>14,061円～</t>
    <rPh sb="6" eb="7">
      <t>エン</t>
    </rPh>
    <phoneticPr fontId="1"/>
  </si>
  <si>
    <t>y=7,030</t>
    <phoneticPr fontId="1"/>
  </si>
  <si>
    <t>11,761円～15,480円</t>
    <rPh sb="6" eb="7">
      <t>エン</t>
    </rPh>
    <rPh sb="14" eb="15">
      <t>エン</t>
    </rPh>
    <phoneticPr fontId="1"/>
  </si>
  <si>
    <t>15,481円～</t>
    <rPh sb="6" eb="7">
      <t>エン</t>
    </rPh>
    <phoneticPr fontId="1"/>
  </si>
  <si>
    <t>y=7,740</t>
    <phoneticPr fontId="1"/>
  </si>
  <si>
    <t>4,060円～10,540円</t>
    <rPh sb="5" eb="6">
      <t>エン</t>
    </rPh>
    <rPh sb="13" eb="14">
      <t>エン</t>
    </rPh>
    <phoneticPr fontId="1"/>
  </si>
  <si>
    <t>10,541円～14,990円</t>
    <rPh sb="6" eb="7">
      <t>エン</t>
    </rPh>
    <rPh sb="14" eb="15">
      <t>エン</t>
    </rPh>
    <phoneticPr fontId="1"/>
  </si>
  <si>
    <t>y=6,745</t>
    <phoneticPr fontId="1"/>
  </si>
  <si>
    <t>ｙ＝0.8ｗ-0.35{(w-4,060)/(10,540-4,060)}ｗ</t>
    <phoneticPr fontId="1"/>
  </si>
  <si>
    <t>y=0.05w+(10,540×0.4)</t>
    <phoneticPr fontId="1"/>
  </si>
  <si>
    <t>2,050円～4,040円</t>
    <rPh sb="5" eb="6">
      <t>エン</t>
    </rPh>
    <rPh sb="12" eb="13">
      <t>エン</t>
    </rPh>
    <phoneticPr fontId="1"/>
  </si>
  <si>
    <t>4,040円～11,680円</t>
    <rPh sb="5" eb="6">
      <t>エン</t>
    </rPh>
    <rPh sb="13" eb="14">
      <t>エン</t>
    </rPh>
    <phoneticPr fontId="1"/>
  </si>
  <si>
    <t>11,681円～12,580円</t>
    <rPh sb="6" eb="7">
      <t>エン</t>
    </rPh>
    <rPh sb="14" eb="15">
      <t>エン</t>
    </rPh>
    <phoneticPr fontId="1"/>
  </si>
  <si>
    <t>12,581円～</t>
    <rPh sb="6" eb="7">
      <t>エン</t>
    </rPh>
    <phoneticPr fontId="1"/>
  </si>
  <si>
    <t>ｙ＝{-3(ｗ*w)+73,240w}/76,400</t>
    <phoneticPr fontId="1"/>
  </si>
  <si>
    <t>y=6,290</t>
    <phoneticPr fontId="1"/>
  </si>
  <si>
    <t>11,681円～13,980円</t>
    <rPh sb="6" eb="7">
      <t>エン</t>
    </rPh>
    <rPh sb="14" eb="15">
      <t>エン</t>
    </rPh>
    <phoneticPr fontId="1"/>
  </si>
  <si>
    <t>13,981円～</t>
    <rPh sb="6" eb="7">
      <t>エン</t>
    </rPh>
    <phoneticPr fontId="1"/>
  </si>
  <si>
    <t>y=6,990</t>
    <phoneticPr fontId="1"/>
  </si>
  <si>
    <t>11,681円～15,370円</t>
    <rPh sb="6" eb="7">
      <t>エン</t>
    </rPh>
    <rPh sb="14" eb="15">
      <t>エン</t>
    </rPh>
    <phoneticPr fontId="1"/>
  </si>
  <si>
    <t>15,371円～</t>
    <rPh sb="6" eb="7">
      <t>エン</t>
    </rPh>
    <phoneticPr fontId="1"/>
  </si>
  <si>
    <t>y=7,685</t>
    <phoneticPr fontId="1"/>
  </si>
  <si>
    <t>4,040円～10,470円</t>
    <rPh sb="5" eb="6">
      <t>エン</t>
    </rPh>
    <rPh sb="13" eb="14">
      <t>エン</t>
    </rPh>
    <phoneticPr fontId="1"/>
  </si>
  <si>
    <t>10,471円～14,890円</t>
    <rPh sb="6" eb="7">
      <t>エン</t>
    </rPh>
    <rPh sb="14" eb="15">
      <t>エン</t>
    </rPh>
    <phoneticPr fontId="1"/>
  </si>
  <si>
    <t>14,891円～</t>
    <rPh sb="6" eb="7">
      <t>エン</t>
    </rPh>
    <phoneticPr fontId="1"/>
  </si>
  <si>
    <t>y=6,700</t>
    <phoneticPr fontId="1"/>
  </si>
  <si>
    <t>ｙ＝{-7(w*w)+131,160w}/128,600</t>
    <phoneticPr fontId="1"/>
  </si>
  <si>
    <t>y=0.05w+4,188</t>
    <phoneticPr fontId="1"/>
  </si>
  <si>
    <t>平成20年8月1日～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</si>
  <si>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2,070円～4,080円</t>
    <rPh sb="5" eb="6">
      <t>エン</t>
    </rPh>
    <rPh sb="12" eb="13">
      <t>エン</t>
    </rPh>
    <phoneticPr fontId="1"/>
  </si>
  <si>
    <t>4,080円～11,830円</t>
    <rPh sb="5" eb="6">
      <t>エン</t>
    </rPh>
    <rPh sb="13" eb="14">
      <t>エン</t>
    </rPh>
    <phoneticPr fontId="1"/>
  </si>
  <si>
    <t>11,831円～12,740円</t>
    <rPh sb="6" eb="7">
      <t>エン</t>
    </rPh>
    <rPh sb="14" eb="15">
      <t>エン</t>
    </rPh>
    <phoneticPr fontId="1"/>
  </si>
  <si>
    <t>y=6,370</t>
    <phoneticPr fontId="1"/>
  </si>
  <si>
    <t>ｙ＝0.8ｗ-0.3{(w-4,080)/(11,830-4,080)}ｗ</t>
    <phoneticPr fontId="1"/>
  </si>
  <si>
    <t>y=7,070</t>
    <phoneticPr fontId="1"/>
  </si>
  <si>
    <t>11,831円～14,140円</t>
    <rPh sb="6" eb="7">
      <t>エン</t>
    </rPh>
    <rPh sb="14" eb="15">
      <t>エン</t>
    </rPh>
    <phoneticPr fontId="1"/>
  </si>
  <si>
    <t>14,141円～</t>
    <rPh sb="6" eb="7">
      <t>エン</t>
    </rPh>
    <phoneticPr fontId="1"/>
  </si>
  <si>
    <t>11,831円～15,570円</t>
    <rPh sb="6" eb="7">
      <t>エン</t>
    </rPh>
    <rPh sb="14" eb="15">
      <t>エン</t>
    </rPh>
    <phoneticPr fontId="1"/>
  </si>
  <si>
    <t>15,571円～</t>
    <rPh sb="6" eb="7">
      <t>エン</t>
    </rPh>
    <phoneticPr fontId="1"/>
  </si>
  <si>
    <t>y=7,785</t>
    <phoneticPr fontId="1"/>
  </si>
  <si>
    <t>4,080円～10,600円</t>
    <rPh sb="5" eb="6">
      <t>エン</t>
    </rPh>
    <rPh sb="13" eb="14">
      <t>エン</t>
    </rPh>
    <phoneticPr fontId="1"/>
  </si>
  <si>
    <t>15,081円～</t>
    <rPh sb="6" eb="7">
      <t>エン</t>
    </rPh>
    <phoneticPr fontId="1"/>
  </si>
  <si>
    <t>y=6,786</t>
    <phoneticPr fontId="1"/>
  </si>
  <si>
    <t>ｙ＝0.8ｗ-0.35{(w-4,080)/(10,600-4,080)}ｗ</t>
    <phoneticPr fontId="1"/>
  </si>
  <si>
    <t>y=0.05w+(10,600×0.4)</t>
    <phoneticPr fontId="1"/>
  </si>
  <si>
    <t>4,060円～11,750円</t>
    <rPh sb="5" eb="6">
      <t>エン</t>
    </rPh>
    <rPh sb="13" eb="14">
      <t>エン</t>
    </rPh>
    <phoneticPr fontId="1"/>
  </si>
  <si>
    <t>11,751円～12,660円</t>
    <rPh sb="6" eb="7">
      <t>エン</t>
    </rPh>
    <rPh sb="14" eb="15">
      <t>エン</t>
    </rPh>
    <phoneticPr fontId="1"/>
  </si>
  <si>
    <t>ｙ＝{-3(ｗ*w)+73,700w}/76,900</t>
    <phoneticPr fontId="1"/>
  </si>
  <si>
    <t>y=6,330</t>
    <phoneticPr fontId="1"/>
  </si>
  <si>
    <t>11,751円～14,060円</t>
    <rPh sb="6" eb="7">
      <t>エン</t>
    </rPh>
    <rPh sb="14" eb="15">
      <t>エン</t>
    </rPh>
    <phoneticPr fontId="1"/>
  </si>
  <si>
    <t>y=7,730</t>
    <phoneticPr fontId="1"/>
  </si>
  <si>
    <t>15,461円～</t>
    <rPh sb="6" eb="7">
      <t>エン</t>
    </rPh>
    <phoneticPr fontId="1"/>
  </si>
  <si>
    <t>11,751円～15,460円</t>
    <rPh sb="6" eb="7">
      <t>エン</t>
    </rPh>
    <rPh sb="14" eb="15">
      <t>エン</t>
    </rPh>
    <phoneticPr fontId="1"/>
  </si>
  <si>
    <t>4,060円～10,530円</t>
    <rPh sb="5" eb="6">
      <t>エン</t>
    </rPh>
    <rPh sb="13" eb="14">
      <t>エン</t>
    </rPh>
    <phoneticPr fontId="1"/>
  </si>
  <si>
    <t>10,531円～14,980円</t>
    <rPh sb="6" eb="7">
      <t>エン</t>
    </rPh>
    <rPh sb="14" eb="15">
      <t>エン</t>
    </rPh>
    <phoneticPr fontId="1"/>
  </si>
  <si>
    <t>14,981円～</t>
    <rPh sb="6" eb="7">
      <t>エン</t>
    </rPh>
    <phoneticPr fontId="1"/>
  </si>
  <si>
    <t>y=6,741</t>
    <phoneticPr fontId="1"/>
  </si>
  <si>
    <t>y=0.05w+4,212</t>
    <phoneticPr fontId="1"/>
  </si>
  <si>
    <t>ｙ＝{-7(w*w)+131,940w}/129,400</t>
    <phoneticPr fontId="1"/>
  </si>
  <si>
    <t>平成19年8月1日～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</si>
  <si>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2,080円～4,100円</t>
    <rPh sb="5" eb="6">
      <t>エン</t>
    </rPh>
    <rPh sb="12" eb="13">
      <t>エン</t>
    </rPh>
    <phoneticPr fontId="1"/>
  </si>
  <si>
    <t>4,100円～11,890円</t>
    <rPh sb="5" eb="6">
      <t>エン</t>
    </rPh>
    <rPh sb="13" eb="14">
      <t>エン</t>
    </rPh>
    <phoneticPr fontId="1"/>
  </si>
  <si>
    <t>11,891円～12,810円</t>
    <rPh sb="6" eb="7">
      <t>エン</t>
    </rPh>
    <rPh sb="14" eb="15">
      <t>エン</t>
    </rPh>
    <phoneticPr fontId="1"/>
  </si>
  <si>
    <t>ｙ＝0.8ｗ-0.3{(w-4,100)/(11,890-4,100)}ｗ</t>
    <phoneticPr fontId="1"/>
  </si>
  <si>
    <t>11,891円～14,220円</t>
    <rPh sb="6" eb="7">
      <t>エン</t>
    </rPh>
    <rPh sb="14" eb="15">
      <t>エン</t>
    </rPh>
    <phoneticPr fontId="1"/>
  </si>
  <si>
    <t>11,891円～15,650円</t>
    <rPh sb="6" eb="7">
      <t>エン</t>
    </rPh>
    <rPh sb="14" eb="15">
      <t>エン</t>
    </rPh>
    <phoneticPr fontId="1"/>
  </si>
  <si>
    <t>y=7,825</t>
    <phoneticPr fontId="1"/>
  </si>
  <si>
    <t>4,100円～10,660円</t>
    <rPh sb="5" eb="6">
      <t>エン</t>
    </rPh>
    <rPh sb="13" eb="14">
      <t>エン</t>
    </rPh>
    <phoneticPr fontId="1"/>
  </si>
  <si>
    <t>ｙ＝0.8ｗ-0.35{(w-4,100)/(10,660-4,100)}ｗ</t>
    <phoneticPr fontId="1"/>
  </si>
  <si>
    <t>y=0.05w+(10,660×0.4)</t>
    <phoneticPr fontId="1"/>
  </si>
  <si>
    <t>y=6,822</t>
    <phoneticPr fontId="1"/>
  </si>
  <si>
    <t>15,161円～</t>
    <rPh sb="6" eb="7">
      <t>エン</t>
    </rPh>
    <phoneticPr fontId="1"/>
  </si>
  <si>
    <t>10,661円～15,160円</t>
    <rPh sb="6" eb="7">
      <t>エン</t>
    </rPh>
    <rPh sb="14" eb="15">
      <t>エン</t>
    </rPh>
    <phoneticPr fontId="1"/>
  </si>
  <si>
    <t>10,601円～15,080円</t>
    <rPh sb="6" eb="7">
      <t>エン</t>
    </rPh>
    <rPh sb="14" eb="15">
      <t>エン</t>
    </rPh>
    <phoneticPr fontId="1"/>
  </si>
  <si>
    <t>4,080円～11,820円</t>
    <rPh sb="5" eb="6">
      <t>エン</t>
    </rPh>
    <rPh sb="13" eb="14">
      <t>エン</t>
    </rPh>
    <phoneticPr fontId="1"/>
  </si>
  <si>
    <t>11,821円～12,730円</t>
    <rPh sb="6" eb="7">
      <t>エン</t>
    </rPh>
    <rPh sb="14" eb="15">
      <t>エン</t>
    </rPh>
    <phoneticPr fontId="1"/>
  </si>
  <si>
    <t>12,731円～</t>
    <rPh sb="6" eb="7">
      <t>エン</t>
    </rPh>
    <phoneticPr fontId="1"/>
  </si>
  <si>
    <t>ｙ＝{-3(ｗ*w)+74,160w}/77,400</t>
    <phoneticPr fontId="1"/>
  </si>
  <si>
    <t>y=6,365</t>
    <phoneticPr fontId="1"/>
  </si>
  <si>
    <t>11,821円～14,140円</t>
    <rPh sb="6" eb="7">
      <t>エン</t>
    </rPh>
    <rPh sb="14" eb="15">
      <t>エン</t>
    </rPh>
    <phoneticPr fontId="1"/>
  </si>
  <si>
    <t>y=7,775</t>
    <phoneticPr fontId="1"/>
  </si>
  <si>
    <t>11,821円～15,550円</t>
    <rPh sb="6" eb="7">
      <t>エン</t>
    </rPh>
    <rPh sb="14" eb="15">
      <t>エン</t>
    </rPh>
    <phoneticPr fontId="1"/>
  </si>
  <si>
    <t>4,080円～10,590円</t>
    <rPh sb="5" eb="6">
      <t>エン</t>
    </rPh>
    <rPh sb="13" eb="14">
      <t>エン</t>
    </rPh>
    <phoneticPr fontId="1"/>
  </si>
  <si>
    <t>10,591円～15,060円</t>
    <rPh sb="6" eb="7">
      <t>エン</t>
    </rPh>
    <rPh sb="14" eb="15">
      <t>エン</t>
    </rPh>
    <phoneticPr fontId="1"/>
  </si>
  <si>
    <t>ｙ＝{-7(w*w)+132,720w}/130,200</t>
    <phoneticPr fontId="1"/>
  </si>
  <si>
    <t>y=0.05w+4,236</t>
    <phoneticPr fontId="1"/>
  </si>
  <si>
    <t>y=6,777</t>
    <phoneticPr fontId="1"/>
  </si>
  <si>
    <t>平成18年8月1日～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</si>
  <si>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2,090円～4,120円</t>
    <rPh sb="5" eb="6">
      <t>エン</t>
    </rPh>
    <rPh sb="12" eb="13">
      <t>エン</t>
    </rPh>
    <phoneticPr fontId="1"/>
  </si>
  <si>
    <t>4,120円～11,940円</t>
    <rPh sb="5" eb="6">
      <t>エン</t>
    </rPh>
    <rPh sb="13" eb="14">
      <t>エン</t>
    </rPh>
    <phoneticPr fontId="1"/>
  </si>
  <si>
    <t>11,941円～12,870円</t>
    <rPh sb="6" eb="7">
      <t>エン</t>
    </rPh>
    <rPh sb="14" eb="15">
      <t>エン</t>
    </rPh>
    <phoneticPr fontId="1"/>
  </si>
  <si>
    <t>12,871円～</t>
    <rPh sb="6" eb="7">
      <t>エン</t>
    </rPh>
    <phoneticPr fontId="1"/>
  </si>
  <si>
    <t>y=6,435</t>
    <phoneticPr fontId="1"/>
  </si>
  <si>
    <t>ｙ＝0.8ｗ-0.3{(w-4,120)/(11,940-4,120)}ｗ</t>
    <phoneticPr fontId="1"/>
  </si>
  <si>
    <t>11,941円～14,280円</t>
    <rPh sb="6" eb="7">
      <t>エン</t>
    </rPh>
    <rPh sb="14" eb="15">
      <t>エン</t>
    </rPh>
    <phoneticPr fontId="1"/>
  </si>
  <si>
    <t>14,281円～</t>
    <rPh sb="6" eb="7">
      <t>エン</t>
    </rPh>
    <phoneticPr fontId="1"/>
  </si>
  <si>
    <t>y=7,140</t>
    <phoneticPr fontId="1"/>
  </si>
  <si>
    <t>11,941円～15,720円</t>
    <rPh sb="6" eb="7">
      <t>エン</t>
    </rPh>
    <rPh sb="14" eb="15">
      <t>エン</t>
    </rPh>
    <phoneticPr fontId="1"/>
  </si>
  <si>
    <t>15,721円～</t>
    <rPh sb="6" eb="7">
      <t>エン</t>
    </rPh>
    <phoneticPr fontId="1"/>
  </si>
  <si>
    <t>y=7,860</t>
    <phoneticPr fontId="1"/>
  </si>
  <si>
    <t>4,120円～10,710円</t>
    <rPh sb="5" eb="6">
      <t>エン</t>
    </rPh>
    <rPh sb="13" eb="14">
      <t>エン</t>
    </rPh>
    <phoneticPr fontId="1"/>
  </si>
  <si>
    <t>10,711円～15,230円</t>
    <rPh sb="6" eb="7">
      <t>エン</t>
    </rPh>
    <rPh sb="14" eb="15">
      <t>エン</t>
    </rPh>
    <phoneticPr fontId="1"/>
  </si>
  <si>
    <t>15,231円～</t>
    <rPh sb="6" eb="7">
      <t>エン</t>
    </rPh>
    <phoneticPr fontId="1"/>
  </si>
  <si>
    <t>ｙ＝0.8ｗ-0.35{(w-4,120)/(10,710-4,120)}ｗ</t>
    <phoneticPr fontId="1"/>
  </si>
  <si>
    <t>y=0.05w+(10,710×0.4)</t>
    <phoneticPr fontId="1"/>
  </si>
  <si>
    <t>y=6,853</t>
    <phoneticPr fontId="1"/>
  </si>
  <si>
    <t>4,100円～10,640円</t>
    <rPh sb="5" eb="6">
      <t>エン</t>
    </rPh>
    <rPh sb="13" eb="14">
      <t>エン</t>
    </rPh>
    <phoneticPr fontId="1"/>
  </si>
  <si>
    <t>4,100円～11,870円</t>
    <rPh sb="5" eb="6">
      <t>エン</t>
    </rPh>
    <rPh sb="13" eb="14">
      <t>エン</t>
    </rPh>
    <phoneticPr fontId="1"/>
  </si>
  <si>
    <t>11,871円～12,790円</t>
    <rPh sb="6" eb="7">
      <t>エン</t>
    </rPh>
    <rPh sb="14" eb="15">
      <t>エン</t>
    </rPh>
    <phoneticPr fontId="1"/>
  </si>
  <si>
    <t>ｙ＝{-3(ｗ*w)+74,460w}/77,700</t>
    <phoneticPr fontId="1"/>
  </si>
  <si>
    <t>y=6,395</t>
    <phoneticPr fontId="1"/>
  </si>
  <si>
    <t>11,871円～14,200円</t>
    <rPh sb="6" eb="7">
      <t>エン</t>
    </rPh>
    <rPh sb="14" eb="15">
      <t>エン</t>
    </rPh>
    <phoneticPr fontId="1"/>
  </si>
  <si>
    <t>14,201円～</t>
    <rPh sb="6" eb="7">
      <t>エン</t>
    </rPh>
    <phoneticPr fontId="1"/>
  </si>
  <si>
    <t>y=7,100</t>
    <phoneticPr fontId="1"/>
  </si>
  <si>
    <t>11,871円～15,620円</t>
    <rPh sb="6" eb="7">
      <t>エン</t>
    </rPh>
    <rPh sb="14" eb="15">
      <t>エン</t>
    </rPh>
    <phoneticPr fontId="1"/>
  </si>
  <si>
    <t>y=6,808</t>
    <phoneticPr fontId="1"/>
  </si>
  <si>
    <t>15,131円～</t>
    <rPh sb="6" eb="7">
      <t>エン</t>
    </rPh>
    <phoneticPr fontId="1"/>
  </si>
  <si>
    <t>10,641円～15,130円</t>
    <rPh sb="6" eb="7">
      <t>エン</t>
    </rPh>
    <rPh sb="14" eb="15">
      <t>エン</t>
    </rPh>
    <phoneticPr fontId="1"/>
  </si>
  <si>
    <t>ｙ＝{-7(w*w)+133,340w}/130,800</t>
    <phoneticPr fontId="1"/>
  </si>
  <si>
    <t>y=0.05w+4,256</t>
    <phoneticPr fontId="1"/>
  </si>
  <si>
    <t>平成17年8月1日～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</si>
  <si>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4,100円～11,900円</t>
    <rPh sb="5" eb="6">
      <t>エン</t>
    </rPh>
    <rPh sb="13" eb="14">
      <t>エン</t>
    </rPh>
    <phoneticPr fontId="1"/>
  </si>
  <si>
    <t>11,901円～12,820円</t>
    <rPh sb="6" eb="7">
      <t>エン</t>
    </rPh>
    <rPh sb="14" eb="15">
      <t>エン</t>
    </rPh>
    <phoneticPr fontId="1"/>
  </si>
  <si>
    <t>12,821円～</t>
    <rPh sb="6" eb="7">
      <t>エン</t>
    </rPh>
    <phoneticPr fontId="1"/>
  </si>
  <si>
    <t>ｙ＝0.8ｗ-0.3{(w-4,100)/(11,900-4,100)}ｗ</t>
    <phoneticPr fontId="1"/>
  </si>
  <si>
    <t>y=6,410</t>
    <phoneticPr fontId="1"/>
  </si>
  <si>
    <t>11,901円～14,230円</t>
    <rPh sb="6" eb="7">
      <t>エン</t>
    </rPh>
    <rPh sb="14" eb="15">
      <t>エン</t>
    </rPh>
    <phoneticPr fontId="1"/>
  </si>
  <si>
    <t>y=7,115</t>
    <phoneticPr fontId="1"/>
  </si>
  <si>
    <t>11,901円～15,660円</t>
    <rPh sb="6" eb="7">
      <t>エン</t>
    </rPh>
    <rPh sb="14" eb="15">
      <t>エン</t>
    </rPh>
    <phoneticPr fontId="1"/>
  </si>
  <si>
    <t>4,100円～10,670円</t>
    <rPh sb="5" eb="6">
      <t>エン</t>
    </rPh>
    <rPh sb="13" eb="14">
      <t>エン</t>
    </rPh>
    <phoneticPr fontId="1"/>
  </si>
  <si>
    <t>10,671円～15,170円</t>
    <rPh sb="6" eb="7">
      <t>エン</t>
    </rPh>
    <rPh sb="14" eb="15">
      <t>エン</t>
    </rPh>
    <phoneticPr fontId="1"/>
  </si>
  <si>
    <t>15,171円～</t>
    <rPh sb="6" eb="7">
      <t>エン</t>
    </rPh>
    <phoneticPr fontId="1"/>
  </si>
  <si>
    <t>ｙ＝0.8ｗ-0.35{(w-4,100)/(10,670-4,100)}ｗ</t>
    <phoneticPr fontId="1"/>
  </si>
  <si>
    <t>y=0.05w+(10,670×0.4)</t>
    <phoneticPr fontId="1"/>
  </si>
  <si>
    <t>y=6,826</t>
    <phoneticPr fontId="1"/>
  </si>
  <si>
    <t>ｙ＝{-3(ｗ*w)+74,240w}/77,500</t>
    <phoneticPr fontId="1"/>
  </si>
  <si>
    <t>y=6,370</t>
    <phoneticPr fontId="1"/>
  </si>
  <si>
    <t>11,831円～14,150円</t>
    <rPh sb="6" eb="7">
      <t>エン</t>
    </rPh>
    <rPh sb="14" eb="15">
      <t>エン</t>
    </rPh>
    <phoneticPr fontId="1"/>
  </si>
  <si>
    <t>11,831円～15,560円</t>
    <rPh sb="6" eb="7">
      <t>エン</t>
    </rPh>
    <rPh sb="14" eb="15">
      <t>エン</t>
    </rPh>
    <phoneticPr fontId="1"/>
  </si>
  <si>
    <t>15,561円～</t>
    <rPh sb="6" eb="7">
      <t>エン</t>
    </rPh>
    <phoneticPr fontId="1"/>
  </si>
  <si>
    <t>y=7,780</t>
    <phoneticPr fontId="1"/>
  </si>
  <si>
    <t>y=6,781</t>
    <phoneticPr fontId="1"/>
  </si>
  <si>
    <t>y=0.05w+4,240</t>
    <phoneticPr fontId="1"/>
  </si>
  <si>
    <t>ｙ＝{-7(w*w)+132,880w}/130,400</t>
    <phoneticPr fontId="1"/>
  </si>
  <si>
    <t>平成16年8月1日～</t>
    <rPh sb="0" eb="2">
      <t>ヘイセイ</t>
    </rPh>
    <rPh sb="4" eb="5">
      <t>ネン</t>
    </rPh>
    <rPh sb="6" eb="7">
      <t>ツキ</t>
    </rPh>
    <rPh sb="8" eb="9">
      <t>ヒ</t>
    </rPh>
    <phoneticPr fontId="1"/>
  </si>
  <si>
    <t>2,110円～4,160円</t>
    <rPh sb="5" eb="6">
      <t>エン</t>
    </rPh>
    <rPh sb="12" eb="13">
      <t>エン</t>
    </rPh>
    <phoneticPr fontId="1"/>
  </si>
  <si>
    <t>4,160円～12,080円</t>
    <rPh sb="5" eb="6">
      <t>エン</t>
    </rPh>
    <rPh sb="13" eb="14">
      <t>エン</t>
    </rPh>
    <phoneticPr fontId="1"/>
  </si>
  <si>
    <t>12,081円～13,010円</t>
    <rPh sb="6" eb="7">
      <t>エン</t>
    </rPh>
    <rPh sb="14" eb="15">
      <t>エン</t>
    </rPh>
    <phoneticPr fontId="1"/>
  </si>
  <si>
    <t>13,011円～</t>
    <rPh sb="6" eb="7">
      <t>エン</t>
    </rPh>
    <phoneticPr fontId="1"/>
  </si>
  <si>
    <t>y=6,505</t>
    <phoneticPr fontId="1"/>
  </si>
  <si>
    <t>ｙ＝0.8ｗ-0.3{(w-4,160)/(12,080-4,160)}ｗ</t>
    <phoneticPr fontId="1"/>
  </si>
  <si>
    <t>12,081円～14,450円</t>
    <rPh sb="6" eb="7">
      <t>エン</t>
    </rPh>
    <rPh sb="14" eb="15">
      <t>エン</t>
    </rPh>
    <phoneticPr fontId="1"/>
  </si>
  <si>
    <t>14,451円～</t>
    <rPh sb="6" eb="7">
      <t>エン</t>
    </rPh>
    <phoneticPr fontId="1"/>
  </si>
  <si>
    <t>y=7,225</t>
    <phoneticPr fontId="1"/>
  </si>
  <si>
    <t>12,081円～15,900円</t>
    <rPh sb="6" eb="7">
      <t>エン</t>
    </rPh>
    <rPh sb="14" eb="15">
      <t>エン</t>
    </rPh>
    <phoneticPr fontId="1"/>
  </si>
  <si>
    <t>15,901円～</t>
    <rPh sb="6" eb="7">
      <t>エン</t>
    </rPh>
    <phoneticPr fontId="1"/>
  </si>
  <si>
    <t>y=7,950</t>
    <phoneticPr fontId="1"/>
  </si>
  <si>
    <t>4,160円～10,830円</t>
    <rPh sb="5" eb="6">
      <t>エン</t>
    </rPh>
    <rPh sb="13" eb="14">
      <t>エン</t>
    </rPh>
    <phoneticPr fontId="1"/>
  </si>
  <si>
    <t>10,831円～15,400円</t>
    <rPh sb="6" eb="7">
      <t>エン</t>
    </rPh>
    <rPh sb="14" eb="15">
      <t>エン</t>
    </rPh>
    <phoneticPr fontId="1"/>
  </si>
  <si>
    <t>15,401円～</t>
    <rPh sb="6" eb="7">
      <t>エン</t>
    </rPh>
    <phoneticPr fontId="1"/>
  </si>
  <si>
    <t>y=6,930</t>
    <phoneticPr fontId="1"/>
  </si>
  <si>
    <t>ｙ＝0.8ｗ-0.35{(w-4,160)/(10,830-4,160)}ｗ</t>
    <phoneticPr fontId="1"/>
  </si>
  <si>
    <t>y=0.05w+(10,830×0.4)</t>
    <phoneticPr fontId="1"/>
  </si>
  <si>
    <t>P</t>
    <phoneticPr fontId="1"/>
  </si>
  <si>
    <t>O</t>
    <phoneticPr fontId="1"/>
  </si>
  <si>
    <t>N</t>
    <phoneticPr fontId="1"/>
  </si>
  <si>
    <t>M</t>
    <phoneticPr fontId="1"/>
  </si>
  <si>
    <t>L</t>
    <phoneticPr fontId="1"/>
  </si>
  <si>
    <t>K</t>
    <phoneticPr fontId="1"/>
  </si>
  <si>
    <t>J</t>
    <phoneticPr fontId="1"/>
  </si>
  <si>
    <t>I</t>
    <phoneticPr fontId="1"/>
  </si>
  <si>
    <t>H</t>
    <phoneticPr fontId="1"/>
  </si>
  <si>
    <t>G</t>
    <phoneticPr fontId="1"/>
  </si>
  <si>
    <t>F</t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</si>
  <si>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</si>
  <si>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</si>
  <si>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</si>
  <si>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</si>
  <si>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</si>
  <si>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額同額</t>
    <rPh sb="0" eb="1">
      <t>ガク</t>
    </rPh>
    <rPh sb="1" eb="2">
      <t>ドウ</t>
    </rPh>
    <rPh sb="2" eb="3">
      <t>ガク</t>
    </rPh>
    <phoneticPr fontId="1"/>
  </si>
  <si>
    <t>額8/1～</t>
    <rPh sb="0" eb="1">
      <t>ガク</t>
    </rPh>
    <phoneticPr fontId="1"/>
  </si>
  <si>
    <t>額～7/31</t>
    <rPh sb="0" eb="1">
      <t>ガク</t>
    </rPh>
    <phoneticPr fontId="1"/>
  </si>
  <si>
    <t>8/1から</t>
    <phoneticPr fontId="1"/>
  </si>
  <si>
    <t>7/31まで</t>
    <phoneticPr fontId="1"/>
  </si>
  <si>
    <t>y=7,825</t>
    <phoneticPr fontId="1"/>
  </si>
  <si>
    <t>2,110円～4,159円</t>
    <rPh sb="5" eb="6">
      <t>エン</t>
    </rPh>
    <rPh sb="12" eb="13">
      <t>エン</t>
    </rPh>
    <phoneticPr fontId="1"/>
  </si>
  <si>
    <t>4,160円～12,060円</t>
    <rPh sb="5" eb="6">
      <t>エン</t>
    </rPh>
    <rPh sb="13" eb="14">
      <t>エン</t>
    </rPh>
    <phoneticPr fontId="1"/>
  </si>
  <si>
    <t>12,061円～12,990円</t>
    <rPh sb="6" eb="7">
      <t>エン</t>
    </rPh>
    <rPh sb="14" eb="15">
      <t>エン</t>
    </rPh>
    <phoneticPr fontId="1"/>
  </si>
  <si>
    <t>12,991円～</t>
    <rPh sb="6" eb="7">
      <t>エン</t>
    </rPh>
    <phoneticPr fontId="1"/>
  </si>
  <si>
    <t>12,061円～14,430円</t>
    <rPh sb="6" eb="7">
      <t>エン</t>
    </rPh>
    <rPh sb="14" eb="15">
      <t>エン</t>
    </rPh>
    <phoneticPr fontId="1"/>
  </si>
  <si>
    <t>14,431円～</t>
    <rPh sb="6" eb="7">
      <t>エン</t>
    </rPh>
    <phoneticPr fontId="1"/>
  </si>
  <si>
    <t>12,061円～15,870円</t>
    <rPh sb="6" eb="7">
      <t>エン</t>
    </rPh>
    <rPh sb="14" eb="15">
      <t>エン</t>
    </rPh>
    <phoneticPr fontId="1"/>
  </si>
  <si>
    <t>15,871円～</t>
    <rPh sb="6" eb="7">
      <t>エン</t>
    </rPh>
    <phoneticPr fontId="1"/>
  </si>
  <si>
    <t>4,160円～10,810円</t>
    <rPh sb="5" eb="6">
      <t>エン</t>
    </rPh>
    <rPh sb="13" eb="14">
      <t>エン</t>
    </rPh>
    <phoneticPr fontId="1"/>
  </si>
  <si>
    <t>10,811円～15,370円</t>
    <rPh sb="6" eb="7">
      <t>エン</t>
    </rPh>
    <rPh sb="14" eb="15">
      <t>エン</t>
    </rPh>
    <phoneticPr fontId="1"/>
  </si>
  <si>
    <t>y=6,916</t>
    <phoneticPr fontId="1"/>
  </si>
  <si>
    <t>y=0.05w+4,324</t>
    <phoneticPr fontId="1"/>
  </si>
  <si>
    <t>ｙ＝0.8ｗ-0.35{(w-4,160)/(10,810-4,160)}ｗ</t>
    <phoneticPr fontId="1"/>
  </si>
  <si>
    <t>y=7,935</t>
    <phoneticPr fontId="1"/>
  </si>
  <si>
    <t>ｙ＝0.8ｗ-0.3{(w-4,160)/(12,060-4,160)}ｗ</t>
    <phoneticPr fontId="1"/>
  </si>
  <si>
    <t>ｙ＝0.8ｗ-0.3{(w-4,160)/(12,060-4,160)}ｗ</t>
    <phoneticPr fontId="1"/>
  </si>
  <si>
    <t>ｙ＝0.8ｗ-0.3{(w-4,160)/(12,060-4,160)}ｗ</t>
    <phoneticPr fontId="1"/>
  </si>
  <si>
    <t>y=7,215</t>
    <phoneticPr fontId="1"/>
  </si>
  <si>
    <t>y=6,495</t>
    <phoneticPr fontId="1"/>
  </si>
  <si>
    <t>対象期間（初日）</t>
    <rPh sb="0" eb="2">
      <t>タイショウ</t>
    </rPh>
    <rPh sb="2" eb="4">
      <t>キカン</t>
    </rPh>
    <phoneticPr fontId="1"/>
  </si>
  <si>
    <t>対象期間（末日）</t>
    <rPh sb="0" eb="2">
      <t>タイショウ</t>
    </rPh>
    <phoneticPr fontId="1"/>
  </si>
  <si>
    <t>離職前１ヶ月分給与</t>
    <rPh sb="5" eb="7">
      <t>ゲツブン</t>
    </rPh>
    <rPh sb="7" eb="9">
      <t>キュウヨ</t>
    </rPh>
    <phoneticPr fontId="4"/>
  </si>
  <si>
    <t>円</t>
    <rPh sb="0" eb="1">
      <t>エン</t>
    </rPh>
    <phoneticPr fontId="1"/>
  </si>
  <si>
    <t>追加支給見込額</t>
    <rPh sb="0" eb="2">
      <t>ツイカ</t>
    </rPh>
    <rPh sb="2" eb="4">
      <t>シキュウ</t>
    </rPh>
    <rPh sb="4" eb="6">
      <t>ミコ</t>
    </rPh>
    <rPh sb="6" eb="7">
      <t>ガク</t>
    </rPh>
    <phoneticPr fontId="4"/>
  </si>
  <si>
    <t>プ
ル
ダ
ウ
ン
用</t>
    <rPh sb="10" eb="11">
      <t>ヨウ</t>
    </rPh>
    <phoneticPr fontId="1"/>
  </si>
  <si>
    <t>年齢</t>
    <rPh sb="0" eb="2">
      <t>ネンレイ</t>
    </rPh>
    <phoneticPr fontId="1"/>
  </si>
  <si>
    <t>新</t>
    <rPh sb="0" eb="1">
      <t>シン</t>
    </rPh>
    <phoneticPr fontId="1"/>
  </si>
  <si>
    <t>失業者の退職手当（基本手当に相当する退職手当）　追加支給見込額　試算シート</t>
    <rPh sb="0" eb="3">
      <t>シツギョウシャ</t>
    </rPh>
    <rPh sb="4" eb="6">
      <t>タイショク</t>
    </rPh>
    <rPh sb="6" eb="8">
      <t>テアテ</t>
    </rPh>
    <rPh sb="14" eb="16">
      <t>ソウトウ</t>
    </rPh>
    <rPh sb="18" eb="20">
      <t>タイショク</t>
    </rPh>
    <rPh sb="20" eb="22">
      <t>テアテ</t>
    </rPh>
    <rPh sb="24" eb="26">
      <t>ツイカ</t>
    </rPh>
    <rPh sb="26" eb="28">
      <t>シキュウ</t>
    </rPh>
    <rPh sb="28" eb="30">
      <t>ミコ</t>
    </rPh>
    <rPh sb="30" eb="31">
      <t>ガク</t>
    </rPh>
    <rPh sb="32" eb="34">
      <t>シサン</t>
    </rPh>
    <phoneticPr fontId="4"/>
  </si>
  <si>
    <t>※　上記の追加支給見込額は加算額を加味しておらず、あくまで目安です。細かな賃金の条件など、各個人の詳細な状況によって、
　　 実際の追加支給額は異なりますのでご留意ください。</t>
    <rPh sb="2" eb="4">
      <t>ジョウキ</t>
    </rPh>
    <rPh sb="5" eb="7">
      <t>ツイカ</t>
    </rPh>
    <rPh sb="7" eb="9">
      <t>シキュウ</t>
    </rPh>
    <rPh sb="9" eb="11">
      <t>ミコ</t>
    </rPh>
    <rPh sb="11" eb="12">
      <t>ガク</t>
    </rPh>
    <rPh sb="13" eb="16">
      <t>カサンガク</t>
    </rPh>
    <rPh sb="17" eb="19">
      <t>カミ</t>
    </rPh>
    <rPh sb="29" eb="31">
      <t>メヤス</t>
    </rPh>
    <rPh sb="34" eb="35">
      <t>コマ</t>
    </rPh>
    <rPh sb="37" eb="39">
      <t>チンギン</t>
    </rPh>
    <rPh sb="40" eb="42">
      <t>ジョウケン</t>
    </rPh>
    <rPh sb="45" eb="48">
      <t>カクコジン</t>
    </rPh>
    <rPh sb="49" eb="51">
      <t>ショウサイ</t>
    </rPh>
    <rPh sb="52" eb="54">
      <t>ジョウキョウ</t>
    </rPh>
    <rPh sb="63" eb="65">
      <t>ジッサイ</t>
    </rPh>
    <rPh sb="66" eb="68">
      <t>ツイカ</t>
    </rPh>
    <rPh sb="68" eb="70">
      <t>シキュウ</t>
    </rPh>
    <rPh sb="70" eb="71">
      <t>ガク</t>
    </rPh>
    <rPh sb="72" eb="73">
      <t>コト</t>
    </rPh>
    <rPh sb="80" eb="82">
      <t>リュウイ</t>
    </rPh>
    <phoneticPr fontId="4"/>
  </si>
  <si>
    <t>旧</t>
    <rPh sb="0" eb="1">
      <t>キュウ</t>
    </rPh>
    <phoneticPr fontId="1"/>
  </si>
  <si>
    <t>差額</t>
    <rPh sb="0" eb="2">
      <t>サガク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</si>
</sst>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protection hidden="1"/>
    </xf>
    <xf numFmtId="0" fontId="7" fillId="0" borderId="0" xfId="1" applyFont="1" applyAlignment="1" applyProtection="1">
      <alignment horizontal="right" vertical="center" shrinkToFit="1"/>
      <protection hidden="1"/>
    </xf>
    <xf numFmtId="0" fontId="0" fillId="0" borderId="0" xfId="0" applyProtection="1">
      <alignment vertical="center"/>
    </xf>
    <xf numFmtId="0" fontId="2" fillId="0" borderId="0" xfId="1" applyAlignment="1" applyProtection="1">
      <alignment horizontal="center" vertical="center"/>
      <protection hidden="1"/>
    </xf>
    <xf numFmtId="0" fontId="2" fillId="0" borderId="0" xfId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4" borderId="0" xfId="0" applyFill="1">
      <alignment vertical="center"/>
    </xf>
    <xf numFmtId="0" fontId="0" fillId="5" borderId="1" xfId="0" applyFill="1" applyBorder="1">
      <alignment vertical="center"/>
    </xf>
    <xf numFmtId="0" fontId="0" fillId="5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6" borderId="1" xfId="0" applyFill="1" applyBorder="1">
      <alignment vertical="center"/>
    </xf>
    <xf numFmtId="0" fontId="0" fillId="6" borderId="0" xfId="0" applyFill="1">
      <alignment vertical="center"/>
    </xf>
    <xf numFmtId="58" fontId="0" fillId="0" borderId="1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11" fillId="3" borderId="13" xfId="1" applyFont="1" applyFill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1" fillId="2" borderId="8" xfId="1" applyFont="1" applyFill="1" applyBorder="1" applyAlignment="1" applyProtection="1">
      <alignment horizontal="center" vertical="center"/>
      <protection hidden="1"/>
    </xf>
    <xf numFmtId="38" fontId="10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alignment horizontal="left" vertical="center" wrapText="1"/>
      <protection hidden="1"/>
    </xf>
    <xf numFmtId="0" fontId="8" fillId="0" borderId="0" xfId="1" applyFont="1" applyAlignment="1" applyProtection="1">
      <alignment horizontal="left" wrapText="1"/>
      <protection hidden="1"/>
    </xf>
    <xf numFmtId="38" fontId="10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alignment horizontal="left" vertical="center" wrapText="1"/>
      <protection hidden="1"/>
    </xf>
    <xf numFmtId="0" fontId="8" fillId="0" borderId="0" xfId="1" applyFont="1" applyAlignment="1" applyProtection="1">
      <alignment horizontal="left" wrapText="1"/>
      <protection hidden="1"/>
    </xf>
    <xf numFmtId="0" fontId="8" fillId="0" borderId="0" xfId="1" applyFont="1" applyAlignment="1" applyProtection="1">
      <alignment horizontal="left" vertical="center" wrapText="1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2" fillId="0" borderId="0" xfId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38" fontId="15" fillId="2" borderId="6" xfId="2" applyFont="1" applyFill="1" applyBorder="1" applyAlignment="1" applyProtection="1">
      <alignment horizontal="right" vertical="center"/>
      <protection locked="0" hidden="1"/>
    </xf>
    <xf numFmtId="38" fontId="15" fillId="2" borderId="7" xfId="2" applyFont="1" applyFill="1" applyBorder="1" applyAlignment="1" applyProtection="1">
      <alignment horizontal="right" vertical="center"/>
      <protection locked="0" hidden="1"/>
    </xf>
    <xf numFmtId="38" fontId="15" fillId="3" borderId="11" xfId="2" applyFont="1" applyFill="1" applyBorder="1" applyAlignment="1" applyProtection="1">
      <alignment horizontal="right" vertical="center"/>
      <protection hidden="1"/>
    </xf>
    <xf numFmtId="38" fontId="15" fillId="3" borderId="12" xfId="2" applyFont="1" applyFill="1" applyBorder="1" applyAlignment="1" applyProtection="1">
      <alignment horizontal="right" vertical="center"/>
      <protection hidden="1"/>
    </xf>
    <xf numFmtId="0" fontId="14" fillId="2" borderId="6" xfId="1" applyFont="1" applyFill="1" applyBorder="1" applyAlignment="1" applyProtection="1">
      <alignment horizontal="center" vertical="center"/>
      <protection locked="0" hidden="1"/>
    </xf>
    <xf numFmtId="0" fontId="14" fillId="0" borderId="7" xfId="1" applyFont="1" applyBorder="1" applyAlignment="1" applyProtection="1">
      <alignment vertical="center"/>
      <protection locked="0" hidden="1"/>
    </xf>
    <xf numFmtId="0" fontId="14" fillId="0" borderId="8" xfId="1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0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8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桁区切り 2" xfId="2"/>
    <cellStyle name="標準" xfId="0" builtinId="0"/>
    <cellStyle name="標準 3" xfId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228598</xdr:colOff>
      <xdr:row>1</xdr:row>
      <xdr:rowOff>85724</xdr:rowOff>
    </xdr:from>
    <xdr:to>
      <xdr:col>6</xdr:col>
      <xdr:colOff>2095499</xdr:colOff>
      <xdr:row>3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315073" y="447674"/>
          <a:ext cx="2552701" cy="63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当時、受給していた期間の始まりの日を選択してください。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1</xdr:row>
      <xdr:rowOff>66675</xdr:rowOff>
    </xdr:from>
    <xdr:to>
      <xdr:col>6</xdr:col>
      <xdr:colOff>2133599</xdr:colOff>
      <xdr:row>3</xdr:row>
      <xdr:rowOff>57150</xdr:rowOff>
    </xdr:to>
    <xdr:sp macro="" textlink="">
      <xdr:nvSpPr>
        <xdr:cNvPr id="4" name="角丸四角形吹き出し 3"/>
        <xdr:cNvSpPr/>
      </xdr:nvSpPr>
      <xdr:spPr>
        <a:xfrm>
          <a:off x="6248399" y="428625"/>
          <a:ext cx="2657475" cy="676275"/>
        </a:xfrm>
        <a:prstGeom prst="wedgeRoundRectCallout">
          <a:avLst>
            <a:gd name="adj1" fmla="val -77402"/>
            <a:gd name="adj2" fmla="val 11101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3</xdr:row>
      <xdr:rowOff>190499</xdr:rowOff>
    </xdr:from>
    <xdr:to>
      <xdr:col>6</xdr:col>
      <xdr:colOff>2057400</xdr:colOff>
      <xdr:row>5</xdr:row>
      <xdr:rowOff>152399</xdr:rowOff>
    </xdr:to>
    <xdr:sp macro="" textlink="">
      <xdr:nvSpPr>
        <xdr:cNvPr id="8" name="テキスト ボックス 7"/>
        <xdr:cNvSpPr txBox="1"/>
      </xdr:nvSpPr>
      <xdr:spPr>
        <a:xfrm>
          <a:off x="6296025" y="1238249"/>
          <a:ext cx="253365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当時、受給していた期間の終わりの日を選択してください。</a:t>
          </a:r>
          <a:endParaRPr kumimoji="1" lang="en-US" altLang="ja-JP" sz="1200" b="1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171449</xdr:colOff>
      <xdr:row>3</xdr:row>
      <xdr:rowOff>161925</xdr:rowOff>
    </xdr:from>
    <xdr:to>
      <xdr:col>6</xdr:col>
      <xdr:colOff>2133600</xdr:colOff>
      <xdr:row>5</xdr:row>
      <xdr:rowOff>180975</xdr:rowOff>
    </xdr:to>
    <xdr:sp macro="" textlink="">
      <xdr:nvSpPr>
        <xdr:cNvPr id="10" name="角丸四角形吹き出し 9"/>
        <xdr:cNvSpPr/>
      </xdr:nvSpPr>
      <xdr:spPr>
        <a:xfrm>
          <a:off x="6257924" y="1209675"/>
          <a:ext cx="2647951" cy="714375"/>
        </a:xfrm>
        <a:prstGeom prst="wedgeRoundRectCallout">
          <a:avLst>
            <a:gd name="adj1" fmla="val -77312"/>
            <a:gd name="adj2" fmla="val -3940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209549</xdr:colOff>
      <xdr:row>7</xdr:row>
      <xdr:rowOff>161924</xdr:rowOff>
    </xdr:from>
    <xdr:to>
      <xdr:col>6</xdr:col>
      <xdr:colOff>2943225</xdr:colOff>
      <xdr:row>9</xdr:row>
      <xdr:rowOff>295275</xdr:rowOff>
    </xdr:to>
    <xdr:sp macro="" textlink="">
      <xdr:nvSpPr>
        <xdr:cNvPr id="11" name="テキスト ボックス 10"/>
        <xdr:cNvSpPr txBox="1"/>
      </xdr:nvSpPr>
      <xdr:spPr>
        <a:xfrm>
          <a:off x="6296024" y="2600324"/>
          <a:ext cx="3419476" cy="89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当時</a:t>
          </a:r>
          <a:r>
            <a:rPr kumimoji="1" lang="ja-JP" altLang="en-US" sz="1200" b="1"/>
            <a:t>１か月分</a:t>
          </a:r>
          <a:r>
            <a:rPr kumimoji="1" lang="ja-JP" altLang="en-US" sz="1100" b="1"/>
            <a:t>の給与</a:t>
          </a:r>
          <a:r>
            <a:rPr kumimoji="1" lang="en-US" altLang="ja-JP" sz="1200" b="1"/>
            <a:t>〔</a:t>
          </a:r>
          <a:r>
            <a:rPr kumimoji="1" lang="ja-JP" altLang="en-US" sz="1200" b="1"/>
            <a:t>給料（教職調整額含む）、扶養手当、地域手当、義務教育等教員特別手当、通勤手当等</a:t>
          </a:r>
          <a:r>
            <a:rPr kumimoji="1" lang="en-US" altLang="ja-JP" sz="1200" b="1"/>
            <a:t>〕</a:t>
          </a:r>
          <a:r>
            <a:rPr kumimoji="1" lang="ja-JP" altLang="en-US" sz="1100" b="1"/>
            <a:t>を入力してください。</a:t>
          </a:r>
        </a:p>
      </xdr:txBody>
    </xdr:sp>
    <xdr:clientData/>
  </xdr:twoCellAnchor>
  <xdr:twoCellAnchor>
    <xdr:from>
      <xdr:col>5</xdr:col>
      <xdr:colOff>180974</xdr:colOff>
      <xdr:row>7</xdr:row>
      <xdr:rowOff>161925</xdr:rowOff>
    </xdr:from>
    <xdr:to>
      <xdr:col>6</xdr:col>
      <xdr:colOff>2914650</xdr:colOff>
      <xdr:row>9</xdr:row>
      <xdr:rowOff>209550</xdr:rowOff>
    </xdr:to>
    <xdr:sp macro="" textlink="">
      <xdr:nvSpPr>
        <xdr:cNvPr id="13" name="角丸四角形吹き出し 12"/>
        <xdr:cNvSpPr/>
      </xdr:nvSpPr>
      <xdr:spPr>
        <a:xfrm>
          <a:off x="6267449" y="2600325"/>
          <a:ext cx="3419476" cy="809625"/>
        </a:xfrm>
        <a:prstGeom prst="wedgeRoundRectCallout">
          <a:avLst>
            <a:gd name="adj1" fmla="val -72486"/>
            <a:gd name="adj2" fmla="val -10058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6</xdr:row>
      <xdr:rowOff>47626</xdr:rowOff>
    </xdr:from>
    <xdr:to>
      <xdr:col>6</xdr:col>
      <xdr:colOff>2066925</xdr:colOff>
      <xdr:row>7</xdr:row>
      <xdr:rowOff>123826</xdr:rowOff>
    </xdr:to>
    <xdr:sp macro="" textlink="">
      <xdr:nvSpPr>
        <xdr:cNvPr id="9" name="テキスト ボックス 8"/>
        <xdr:cNvSpPr txBox="1"/>
      </xdr:nvSpPr>
      <xdr:spPr>
        <a:xfrm>
          <a:off x="6305550" y="2105026"/>
          <a:ext cx="25336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離職時の年齢を選択してください。</a:t>
          </a:r>
          <a:endParaRPr kumimoji="1" lang="en-US" altLang="ja-JP" sz="1200" b="1"/>
        </a:p>
      </xdr:txBody>
    </xdr:sp>
    <xdr:clientData/>
  </xdr:twoCellAnchor>
  <xdr:twoCellAnchor>
    <xdr:from>
      <xdr:col>5</xdr:col>
      <xdr:colOff>171450</xdr:colOff>
      <xdr:row>6</xdr:row>
      <xdr:rowOff>1</xdr:rowOff>
    </xdr:from>
    <xdr:to>
      <xdr:col>6</xdr:col>
      <xdr:colOff>2133601</xdr:colOff>
      <xdr:row>7</xdr:row>
      <xdr:rowOff>57151</xdr:rowOff>
    </xdr:to>
    <xdr:sp macro="" textlink="">
      <xdr:nvSpPr>
        <xdr:cNvPr id="14" name="角丸四角形吹き出し 13"/>
        <xdr:cNvSpPr/>
      </xdr:nvSpPr>
      <xdr:spPr>
        <a:xfrm>
          <a:off x="6257925" y="2057401"/>
          <a:ext cx="2647951" cy="438150"/>
        </a:xfrm>
        <a:prstGeom prst="wedgeRoundRectCallout">
          <a:avLst>
            <a:gd name="adj1" fmla="val -77312"/>
            <a:gd name="adj2" fmla="val -16667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238124</xdr:colOff>
      <xdr:row>9</xdr:row>
      <xdr:rowOff>295274</xdr:rowOff>
    </xdr:from>
    <xdr:to>
      <xdr:col>6</xdr:col>
      <xdr:colOff>2857499</xdr:colOff>
      <xdr:row>13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6324599" y="3495674"/>
          <a:ext cx="3305175" cy="876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期間等の入力が適正でない場合、計算結果は表示しません。（追加支給見込み額がない場合は「０円」と表示されます。）</a:t>
          </a:r>
          <a:endParaRPr kumimoji="1" lang="en-US" altLang="ja-JP" sz="1200" b="1"/>
        </a:p>
      </xdr:txBody>
    </xdr:sp>
    <xdr:clientData/>
  </xdr:twoCellAnchor>
  <xdr:twoCellAnchor>
    <xdr:from>
      <xdr:col>5</xdr:col>
      <xdr:colOff>190500</xdr:colOff>
      <xdr:row>9</xdr:row>
      <xdr:rowOff>314324</xdr:rowOff>
    </xdr:from>
    <xdr:to>
      <xdr:col>6</xdr:col>
      <xdr:colOff>2895600</xdr:colOff>
      <xdr:row>12</xdr:row>
      <xdr:rowOff>190500</xdr:rowOff>
    </xdr:to>
    <xdr:sp macro="" textlink="">
      <xdr:nvSpPr>
        <xdr:cNvPr id="16" name="角丸四角形吹き出し 15"/>
        <xdr:cNvSpPr/>
      </xdr:nvSpPr>
      <xdr:spPr>
        <a:xfrm>
          <a:off x="6276975" y="3514724"/>
          <a:ext cx="3390900" cy="809626"/>
        </a:xfrm>
        <a:prstGeom prst="wedgeRoundRectCallout">
          <a:avLst>
            <a:gd name="adj1" fmla="val -71413"/>
            <a:gd name="adj2" fmla="val -22549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B3" sqref="B3"/>
    </sheetView>
  </sheetViews>
  <sheetFormatPr defaultColWidth="0" defaultRowHeight="18.75" zeroHeight="1" x14ac:dyDescent="0.4"/>
  <cols>
    <col min="1" max="1" width="24.125" style="10" customWidth="1"/>
    <col min="2" max="2" width="16.5" style="10" customWidth="1"/>
    <col min="3" max="3" width="15.375" style="10" customWidth="1"/>
    <col min="4" max="4" width="14.875" style="10" customWidth="1"/>
    <col min="5" max="6" width="9" style="10" customWidth="1"/>
    <col min="7" max="7" width="52" style="10" customWidth="1"/>
    <col min="8" max="8" width="2.75" style="10" customWidth="1"/>
    <col min="9" max="16384" width="9" style="10" hidden="1"/>
  </cols>
  <sheetData>
    <row r="1" spans="1:7" ht="28.5" x14ac:dyDescent="0.3">
      <c r="A1" s="71" t="s">
        <v>615</v>
      </c>
      <c r="B1" s="71"/>
      <c r="C1" s="72"/>
      <c r="D1" s="72"/>
      <c r="E1" s="72"/>
      <c r="F1" s="72"/>
      <c r="G1" s="72"/>
    </row>
    <row r="2" spans="1:7" ht="24" x14ac:dyDescent="0.25">
      <c r="A2" s="6"/>
      <c r="B2" s="7"/>
      <c r="C2" s="8"/>
      <c r="D2" s="8"/>
      <c r="E2" s="8"/>
      <c r="F2" s="8"/>
      <c r="G2" s="8"/>
    </row>
    <row r="3" spans="1:7" ht="30" customHeight="1" x14ac:dyDescent="0.15">
      <c r="A3" s="9" t="s">
        <v>607</v>
      </c>
      <c r="B3" s="54"/>
      <c r="C3" s="54"/>
      <c r="D3" s="54"/>
      <c r="F3" s="73"/>
      <c r="G3" s="74"/>
    </row>
    <row r="4" spans="1:7" ht="24.95" customHeight="1" x14ac:dyDescent="0.4">
      <c r="A4" s="9"/>
      <c r="B4" s="11"/>
      <c r="C4" s="12"/>
      <c r="D4" s="11"/>
      <c r="F4" s="75"/>
      <c r="G4" s="76"/>
    </row>
    <row r="5" spans="1:7" ht="30" customHeight="1" x14ac:dyDescent="0.15">
      <c r="A5" s="9" t="s">
        <v>608</v>
      </c>
      <c r="B5" s="54"/>
      <c r="C5" s="54"/>
      <c r="D5" s="54"/>
      <c r="F5" s="73"/>
      <c r="G5" s="74"/>
    </row>
    <row r="6" spans="1:7" ht="24.95" customHeight="1" x14ac:dyDescent="0.15">
      <c r="A6" s="9"/>
      <c r="B6" s="13"/>
      <c r="C6" s="13"/>
      <c r="D6" s="13"/>
      <c r="F6" s="77"/>
      <c r="G6" s="78"/>
    </row>
    <row r="7" spans="1:7" ht="30" customHeight="1" x14ac:dyDescent="0.15">
      <c r="A7" s="9" t="s">
        <v>111</v>
      </c>
      <c r="B7" s="84"/>
      <c r="C7" s="85"/>
      <c r="D7" s="86"/>
      <c r="F7" s="87"/>
      <c r="G7" s="74"/>
    </row>
    <row r="8" spans="1:7" ht="30" customHeight="1" x14ac:dyDescent="0.4">
      <c r="A8" s="19"/>
      <c r="C8" s="79"/>
      <c r="D8" s="79"/>
    </row>
    <row r="9" spans="1:7" ht="30" customHeight="1" x14ac:dyDescent="0.4">
      <c r="A9" s="9" t="s">
        <v>609</v>
      </c>
      <c r="B9" s="80"/>
      <c r="C9" s="81"/>
      <c r="D9" s="59" t="s">
        <v>610</v>
      </c>
      <c r="E9" s="19"/>
      <c r="F9" s="73"/>
      <c r="G9" s="73"/>
    </row>
    <row r="10" spans="1:7" ht="24.95" customHeight="1" thickBot="1" x14ac:dyDescent="0.45">
      <c r="A10" s="9" t="s">
        <v>112</v>
      </c>
      <c r="B10" s="88"/>
      <c r="C10" s="88"/>
      <c r="D10" s="88"/>
      <c r="E10" s="14"/>
      <c r="F10" s="69" t="s">
        <v>112</v>
      </c>
      <c r="G10" s="69"/>
    </row>
    <row r="11" spans="1:7" ht="30" customHeight="1" thickBot="1" x14ac:dyDescent="0.45">
      <c r="A11" s="57" t="s">
        <v>611</v>
      </c>
      <c r="B11" s="82" t="str">
        <f>計算用!N18</f>
        <v/>
      </c>
      <c r="C11" s="83"/>
      <c r="D11" s="56" t="s">
        <v>610</v>
      </c>
      <c r="E11" s="55"/>
      <c r="F11" s="89"/>
      <c r="G11" s="89"/>
    </row>
    <row r="12" spans="1:7" x14ac:dyDescent="0.15">
      <c r="A12" s="17" t="s">
        <v>112</v>
      </c>
      <c r="B12" s="64"/>
      <c r="C12" s="65"/>
      <c r="D12" s="65"/>
      <c r="E12" s="58"/>
      <c r="F12" s="66" t="s">
        <v>112</v>
      </c>
      <c r="G12" s="67"/>
    </row>
    <row r="13" spans="1:7" x14ac:dyDescent="0.15">
      <c r="A13" s="17"/>
      <c r="B13" s="60"/>
      <c r="C13" s="61"/>
      <c r="D13" s="61"/>
      <c r="E13" s="61"/>
      <c r="F13" s="62"/>
      <c r="G13" s="63"/>
    </row>
    <row r="14" spans="1:7" ht="33.75" customHeight="1" x14ac:dyDescent="0.4">
      <c r="A14" s="68" t="s">
        <v>616</v>
      </c>
      <c r="B14" s="69"/>
      <c r="C14" s="69"/>
      <c r="D14" s="69"/>
      <c r="E14" s="69"/>
      <c r="F14" s="69"/>
      <c r="G14" s="69"/>
    </row>
    <row r="15" spans="1:7" x14ac:dyDescent="0.4">
      <c r="A15" s="69"/>
      <c r="B15" s="69"/>
      <c r="C15" s="69"/>
      <c r="D15" s="69"/>
      <c r="E15" s="69"/>
      <c r="F15" s="69"/>
      <c r="G15" s="69"/>
    </row>
    <row r="16" spans="1:7" x14ac:dyDescent="0.15">
      <c r="A16" s="18"/>
      <c r="B16" s="15"/>
      <c r="C16" s="16"/>
      <c r="D16" s="16"/>
      <c r="E16" s="16"/>
      <c r="F16" s="18"/>
      <c r="G16" s="19"/>
    </row>
    <row r="17" spans="1:7" hidden="1" x14ac:dyDescent="0.4">
      <c r="A17" s="70"/>
      <c r="B17" s="70"/>
      <c r="C17" s="70"/>
      <c r="D17" s="70"/>
      <c r="E17" s="70"/>
      <c r="F17" s="70"/>
      <c r="G17" s="70"/>
    </row>
  </sheetData>
  <sheetProtection algorithmName="SHA-512" hashValue="JOS74rpYj6x1xvvQnTK9rbl0dy/er0qZlgjSMEak8iwzRhWle/ynQx7TZHc/n4ImSaV4rN9eheZghaHkYmSY5g==" saltValue="hj/H2VlHEPVvEQRfkOHdjg==" spinCount="100000" sheet="1" objects="1" scenarios="1" selectLockedCells="1"/>
  <mergeCells count="19">
    <mergeCell ref="C8:D8"/>
    <mergeCell ref="B9:C9"/>
    <mergeCell ref="B11:C11"/>
    <mergeCell ref="B7:D7"/>
    <mergeCell ref="F7:G7"/>
    <mergeCell ref="B10:D10"/>
    <mergeCell ref="F10:G10"/>
    <mergeCell ref="F11:G11"/>
    <mergeCell ref="F9:G9"/>
    <mergeCell ref="A1:G1"/>
    <mergeCell ref="F3:G3"/>
    <mergeCell ref="F4:G4"/>
    <mergeCell ref="F5:G5"/>
    <mergeCell ref="F6:G6"/>
    <mergeCell ref="B12:D12"/>
    <mergeCell ref="F12:G12"/>
    <mergeCell ref="A14:G14"/>
    <mergeCell ref="A15:G15"/>
    <mergeCell ref="A17:G17"/>
  </mergeCells>
  <phoneticPr fontId="1"/>
  <conditionalFormatting sqref="B11:C11">
    <cfRule type="cellIs" dxfId="0" priority="1" operator="equal">
      <formula>"入力に誤りがあります"</formula>
    </cfRule>
  </conditionalFormatting>
  <dataValidations count="2">
    <dataValidation type="list" allowBlank="1" showInputMessage="1" showErrorMessage="1" sqref="B983045:D983045 B917509:D917509 B851973:D851973 B786437:D786437 B720901:D720901 B655365:D655365 B589829:D589829 B524293:D524293 B458757:D458757 B393221:D393221 B327685:D327685 B262149:D262149 B196613:D196613 B131077:D131077 B65541:D65541">
      <formula1>#REF!</formula1>
    </dataValidation>
    <dataValidation type="list" allowBlank="1" showInputMessage="1" showErrorMessage="1" sqref="B983043:D983043 B65537:D65537 B131073:D131073 B196609:D196609 B262145:D262145 B327681:D327681 B393217:D393217 B458753:D458753 B524289:D524289 B589825:D589825 B655361:D655361 B720897:D720897 B786433:D786433 B851969:D851969 B917505:D917505 B983041:D983041 B917507:D917507 B65539:D65539 B131075:D131075 B196611:D196611 B262147:D262147 B327683:D327683 B393219:D393219 B458755:D458755 B524291:D524291 B589827:D589827 B655363:D655363 B720899:D720899 B786435:D786435 B851971:D851971">
      <formula1>#REF!</formula1>
    </dataValidation>
  </dataValidations>
  <pageMargins left="0.7" right="0.7" top="0.75" bottom="0.75" header="0.3" footer="0.3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計算用!$B$2:$B$5</xm:f>
          </x14:formula1>
          <xm:sqref>B7:D7</xm:sqref>
        </x14:dataValidation>
        <x14:dataValidation type="list" allowBlank="1" showInputMessage="1" showErrorMessage="1">
          <x14:formula1>
            <xm:f>計算用!$D$2:$D$16</xm:f>
          </x14:formula1>
          <xm:sqref>B3 B5</xm:sqref>
        </x14:dataValidation>
        <x14:dataValidation type="list" allowBlank="1" showInputMessage="1" showErrorMessage="1">
          <x14:formula1>
            <xm:f>計算用!$E$2:$E$13</xm:f>
          </x14:formula1>
          <xm:sqref>C3 C5</xm:sqref>
        </x14:dataValidation>
        <x14:dataValidation type="list" allowBlank="1" showInputMessage="1" showErrorMessage="1">
          <x14:formula1>
            <xm:f>計算用!$F$2:$F$32</xm:f>
          </x14:formula1>
          <xm:sqref>D3 D5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0" zoomScaleNormal="70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300</v>
      </c>
      <c r="C1" s="29" t="s">
        <v>7</v>
      </c>
      <c r="D1">
        <f>計算用!O3</f>
        <v>0</v>
      </c>
      <c r="E1" s="29"/>
    </row>
    <row r="2" spans="1:18" x14ac:dyDescent="0.4">
      <c r="C2" s="29"/>
      <c r="E2" s="29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8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301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301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302</v>
      </c>
      <c r="B6" s="101"/>
      <c r="C6" s="102" t="s">
        <v>362</v>
      </c>
      <c r="D6" s="102"/>
      <c r="E6" s="102"/>
      <c r="F6" s="102"/>
      <c r="G6">
        <f>ROUNDDOWN(0.8*$D$1-0.3*(($D$1-4650)/(11780-4650))*$D$1,0)</f>
        <v>0</v>
      </c>
      <c r="J6" s="101" t="s">
        <v>316</v>
      </c>
      <c r="K6" s="101"/>
      <c r="L6" s="102" t="s">
        <v>319</v>
      </c>
      <c r="M6" s="102"/>
      <c r="N6" s="102"/>
      <c r="O6" s="102"/>
      <c r="P6">
        <f>ROUNDDOWN((-3*D1*D1+70910*D1)/71200,0)</f>
        <v>0</v>
      </c>
      <c r="R6">
        <f t="shared" ref="R6:R27" si="0">G6-P6</f>
        <v>0</v>
      </c>
    </row>
    <row r="7" spans="1:18" x14ac:dyDescent="0.4">
      <c r="A7" s="101" t="s">
        <v>303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317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304</v>
      </c>
      <c r="B8" s="101"/>
      <c r="C8" s="102" t="s">
        <v>305</v>
      </c>
      <c r="D8" s="102"/>
      <c r="E8" s="102"/>
      <c r="F8" s="102"/>
      <c r="G8">
        <f>6455</f>
        <v>6455</v>
      </c>
      <c r="J8" s="101" t="s">
        <v>304</v>
      </c>
      <c r="K8" s="101"/>
      <c r="L8" s="102" t="s">
        <v>318</v>
      </c>
      <c r="M8" s="102"/>
      <c r="N8" s="102"/>
      <c r="O8" s="102"/>
      <c r="P8">
        <f>6455</f>
        <v>6455</v>
      </c>
      <c r="R8">
        <f t="shared" si="0"/>
        <v>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301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301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302</v>
      </c>
      <c r="B12" s="101"/>
      <c r="C12" s="102" t="s">
        <v>362</v>
      </c>
      <c r="D12" s="102"/>
      <c r="E12" s="102"/>
      <c r="F12" s="102"/>
      <c r="G12">
        <f>ROUNDDOWN(0.8*$D$1-0.3*(($D$1-4650)/(11780-4650))*$D$1,0)</f>
        <v>0</v>
      </c>
      <c r="J12" s="101" t="s">
        <v>316</v>
      </c>
      <c r="K12" s="101"/>
      <c r="L12" s="102" t="s">
        <v>319</v>
      </c>
      <c r="M12" s="102"/>
      <c r="N12" s="102"/>
      <c r="O12" s="102"/>
      <c r="P12">
        <f>ROUNDDOWN((-3*D1*D1+70910*D1)/71200,0)</f>
        <v>0</v>
      </c>
      <c r="R12">
        <f t="shared" si="0"/>
        <v>0</v>
      </c>
    </row>
    <row r="13" spans="1:18" x14ac:dyDescent="0.4">
      <c r="A13" s="101" t="s">
        <v>306</v>
      </c>
      <c r="B13" s="101"/>
      <c r="C13" s="102" t="s">
        <v>209</v>
      </c>
      <c r="D13" s="102"/>
      <c r="E13" s="102"/>
      <c r="F13" s="102"/>
      <c r="G13">
        <f>ROUNDDOWN($D$1*0.5,0)</f>
        <v>0</v>
      </c>
      <c r="J13" s="101" t="s">
        <v>321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307</v>
      </c>
      <c r="B14" s="101"/>
      <c r="C14" s="102" t="s">
        <v>308</v>
      </c>
      <c r="D14" s="102"/>
      <c r="E14" s="102"/>
      <c r="F14" s="102"/>
      <c r="G14">
        <f>7170</f>
        <v>7170</v>
      </c>
      <c r="J14" s="101" t="s">
        <v>307</v>
      </c>
      <c r="K14" s="101"/>
      <c r="L14" s="102" t="s">
        <v>320</v>
      </c>
      <c r="M14" s="102"/>
      <c r="N14" s="102"/>
      <c r="O14" s="102"/>
      <c r="P14">
        <f>7170</f>
        <v>7170</v>
      </c>
      <c r="R14">
        <f t="shared" si="0"/>
        <v>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301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301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302</v>
      </c>
      <c r="B18" s="101"/>
      <c r="C18" s="102" t="s">
        <v>362</v>
      </c>
      <c r="D18" s="102"/>
      <c r="E18" s="102"/>
      <c r="F18" s="102"/>
      <c r="G18">
        <f>ROUNDDOWN(0.8*$D$1-0.3*(($D$1-4650)/(11780-4650))*$D$1,0)</f>
        <v>0</v>
      </c>
      <c r="J18" s="101" t="s">
        <v>316</v>
      </c>
      <c r="K18" s="101"/>
      <c r="L18" s="102" t="s">
        <v>319</v>
      </c>
      <c r="M18" s="102"/>
      <c r="N18" s="102"/>
      <c r="O18" s="102"/>
      <c r="P18">
        <f>ROUNDDOWN((-3*D1*D1+70910*D1)/71200,0)</f>
        <v>0</v>
      </c>
      <c r="R18">
        <f t="shared" si="0"/>
        <v>0</v>
      </c>
    </row>
    <row r="19" spans="1:18" x14ac:dyDescent="0.4">
      <c r="A19" s="101" t="s">
        <v>309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322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310</v>
      </c>
      <c r="B20" s="101"/>
      <c r="C20" s="102" t="s">
        <v>311</v>
      </c>
      <c r="D20" s="102"/>
      <c r="E20" s="102"/>
      <c r="F20" s="102"/>
      <c r="G20">
        <f>7890</f>
        <v>7890</v>
      </c>
      <c r="J20" s="101" t="s">
        <v>310</v>
      </c>
      <c r="K20" s="101"/>
      <c r="L20" s="102" t="s">
        <v>311</v>
      </c>
      <c r="M20" s="102"/>
      <c r="N20" s="102"/>
      <c r="O20" s="102"/>
      <c r="P20">
        <f>7890</f>
        <v>7890</v>
      </c>
      <c r="R20">
        <f t="shared" si="0"/>
        <v>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301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301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312</v>
      </c>
      <c r="B24" s="107"/>
      <c r="C24" s="102" t="s">
        <v>363</v>
      </c>
      <c r="D24" s="102"/>
      <c r="E24" s="102"/>
      <c r="F24" s="102"/>
      <c r="G24">
        <f>ROUNDDOWN(0.8*$D$1-0.35*(($D$1-4650)/(10600-4650))*$D$1,0)</f>
        <v>0</v>
      </c>
      <c r="H24" s="91">
        <f>IF(G24&lt;G25,G24,G25)</f>
        <v>0</v>
      </c>
      <c r="J24" s="106" t="s">
        <v>312</v>
      </c>
      <c r="K24" s="107"/>
      <c r="L24" s="102" t="s">
        <v>323</v>
      </c>
      <c r="M24" s="102"/>
      <c r="N24" s="102"/>
      <c r="O24" s="102"/>
      <c r="P24">
        <f>ROUNDDOWN((-7*D1*D1+127750*D1)/119000,0)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364</v>
      </c>
      <c r="D25" s="104"/>
      <c r="E25" s="104"/>
      <c r="F25" s="105"/>
      <c r="G25">
        <f>ROUNDDOWN(0.05*D1+(10600*0.4),0)</f>
        <v>4240</v>
      </c>
      <c r="H25" s="91"/>
      <c r="J25" s="108"/>
      <c r="K25" s="109"/>
      <c r="L25" s="103" t="s">
        <v>324</v>
      </c>
      <c r="M25" s="104"/>
      <c r="N25" s="104"/>
      <c r="O25" s="105"/>
      <c r="P25">
        <f>ROUNDDOWN(0.05*D1+4240,0)</f>
        <v>4240</v>
      </c>
      <c r="Q25" s="91"/>
      <c r="R25" s="112"/>
    </row>
    <row r="26" spans="1:18" x14ac:dyDescent="0.4">
      <c r="A26" s="101" t="s">
        <v>314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325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315</v>
      </c>
      <c r="B27" s="101"/>
      <c r="C27" s="102" t="s">
        <v>313</v>
      </c>
      <c r="D27" s="102"/>
      <c r="E27" s="102"/>
      <c r="F27" s="102"/>
      <c r="G27">
        <f>6781</f>
        <v>6781</v>
      </c>
      <c r="J27" s="101" t="s">
        <v>326</v>
      </c>
      <c r="K27" s="101"/>
      <c r="L27" s="102" t="s">
        <v>327</v>
      </c>
      <c r="M27" s="102"/>
      <c r="N27" s="102"/>
      <c r="O27" s="102"/>
      <c r="P27">
        <f>6777</f>
        <v>6777</v>
      </c>
      <c r="R27">
        <f t="shared" si="0"/>
        <v>4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0" zoomScaleNormal="70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328</v>
      </c>
      <c r="C1" s="29" t="s">
        <v>7</v>
      </c>
      <c r="D1">
        <f>計算用!O3</f>
        <v>0</v>
      </c>
      <c r="E1" s="29"/>
    </row>
    <row r="2" spans="1:18" x14ac:dyDescent="0.4">
      <c r="C2" s="29"/>
      <c r="E2" s="29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8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329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378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330</v>
      </c>
      <c r="B6" s="101"/>
      <c r="C6" s="102" t="s">
        <v>333</v>
      </c>
      <c r="D6" s="102"/>
      <c r="E6" s="102"/>
      <c r="F6" s="102"/>
      <c r="G6">
        <f>ROUNDDOWN(0.8*$D$1-0.3*(($D$1-3970)/(11490-3970))*$D$1,0)</f>
        <v>0</v>
      </c>
      <c r="J6" s="101" t="s">
        <v>379</v>
      </c>
      <c r="K6" s="101"/>
      <c r="L6" s="102" t="s">
        <v>382</v>
      </c>
      <c r="M6" s="102"/>
      <c r="N6" s="102"/>
      <c r="O6" s="102"/>
      <c r="P6">
        <f>ROUNDDOWN((-3*D1*D1+71530*D1)/74600,0)</f>
        <v>0</v>
      </c>
      <c r="R6">
        <f t="shared" ref="R6:R27" si="0">G6-P6</f>
        <v>0</v>
      </c>
    </row>
    <row r="7" spans="1:18" x14ac:dyDescent="0.4">
      <c r="A7" s="101" t="s">
        <v>331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380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332</v>
      </c>
      <c r="B8" s="101"/>
      <c r="C8" s="102" t="s">
        <v>366</v>
      </c>
      <c r="D8" s="102"/>
      <c r="E8" s="102"/>
      <c r="F8" s="102"/>
      <c r="G8">
        <f>6180</f>
        <v>6180</v>
      </c>
      <c r="J8" s="101" t="s">
        <v>381</v>
      </c>
      <c r="K8" s="101"/>
      <c r="L8" s="102" t="s">
        <v>385</v>
      </c>
      <c r="M8" s="102"/>
      <c r="N8" s="102"/>
      <c r="O8" s="102"/>
      <c r="P8">
        <f>6145</f>
        <v>6145</v>
      </c>
      <c r="R8">
        <f t="shared" si="0"/>
        <v>35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329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378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330</v>
      </c>
      <c r="B12" s="101"/>
      <c r="C12" s="102" t="s">
        <v>333</v>
      </c>
      <c r="D12" s="102"/>
      <c r="E12" s="102"/>
      <c r="F12" s="102"/>
      <c r="G12">
        <f>ROUNDDOWN(0.8*$D$1-0.3*(($D$1-3970)/(11490-3970))*$D$1,0)</f>
        <v>0</v>
      </c>
      <c r="J12" s="101" t="s">
        <v>379</v>
      </c>
      <c r="K12" s="101"/>
      <c r="L12" s="102" t="s">
        <v>382</v>
      </c>
      <c r="M12" s="102"/>
      <c r="N12" s="102"/>
      <c r="O12" s="102"/>
      <c r="P12">
        <f>ROUNDDOWN((-3*D1*D1+71530*D1)/74600,0)</f>
        <v>0</v>
      </c>
      <c r="R12">
        <f t="shared" si="0"/>
        <v>0</v>
      </c>
    </row>
    <row r="13" spans="1:18" x14ac:dyDescent="0.4">
      <c r="A13" s="101" t="s">
        <v>365</v>
      </c>
      <c r="B13" s="101"/>
      <c r="C13" s="102" t="s">
        <v>209</v>
      </c>
      <c r="D13" s="102"/>
      <c r="E13" s="102"/>
      <c r="F13" s="102"/>
      <c r="G13">
        <f>ROUNDDOWN($D$1*0.5,0)</f>
        <v>0</v>
      </c>
      <c r="J13" s="101" t="s">
        <v>383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367</v>
      </c>
      <c r="B14" s="101"/>
      <c r="C14" s="102" t="s">
        <v>368</v>
      </c>
      <c r="D14" s="102"/>
      <c r="E14" s="102"/>
      <c r="F14" s="102"/>
      <c r="G14">
        <f>6865</f>
        <v>6865</v>
      </c>
      <c r="J14" s="101" t="s">
        <v>384</v>
      </c>
      <c r="K14" s="101"/>
      <c r="L14" s="102" t="s">
        <v>386</v>
      </c>
      <c r="M14" s="102"/>
      <c r="N14" s="102"/>
      <c r="O14" s="102"/>
      <c r="P14">
        <f>6825</f>
        <v>6825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329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378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330</v>
      </c>
      <c r="B18" s="101"/>
      <c r="C18" s="102" t="s">
        <v>333</v>
      </c>
      <c r="D18" s="102"/>
      <c r="E18" s="102"/>
      <c r="F18" s="102"/>
      <c r="G18">
        <f>ROUNDDOWN(0.8*$D$1-0.3*(($D$1-3970)/(11490-3970))*$D$1,0)</f>
        <v>0</v>
      </c>
      <c r="J18" s="101" t="s">
        <v>379</v>
      </c>
      <c r="K18" s="101"/>
      <c r="L18" s="102" t="s">
        <v>382</v>
      </c>
      <c r="M18" s="102"/>
      <c r="N18" s="102"/>
      <c r="O18" s="102"/>
      <c r="P18">
        <f>ROUNDDOWN((-3*D1*D1+71530*D1)/74600,0)</f>
        <v>0</v>
      </c>
      <c r="R18">
        <f t="shared" si="0"/>
        <v>0</v>
      </c>
    </row>
    <row r="19" spans="1:18" x14ac:dyDescent="0.4">
      <c r="A19" s="101" t="s">
        <v>369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388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370</v>
      </c>
      <c r="B20" s="101"/>
      <c r="C20" s="102" t="s">
        <v>371</v>
      </c>
      <c r="D20" s="102"/>
      <c r="E20" s="102"/>
      <c r="F20" s="102"/>
      <c r="G20">
        <f>7560</f>
        <v>7560</v>
      </c>
      <c r="J20" s="101" t="s">
        <v>12</v>
      </c>
      <c r="K20" s="101"/>
      <c r="L20" s="102" t="s">
        <v>387</v>
      </c>
      <c r="M20" s="102"/>
      <c r="N20" s="102"/>
      <c r="O20" s="102"/>
      <c r="P20">
        <f>7505</f>
        <v>7505</v>
      </c>
      <c r="R20">
        <f t="shared" si="0"/>
        <v>55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329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378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372</v>
      </c>
      <c r="B24" s="107"/>
      <c r="C24" s="102" t="s">
        <v>373</v>
      </c>
      <c r="D24" s="102"/>
      <c r="E24" s="102"/>
      <c r="F24" s="102"/>
      <c r="G24">
        <f>ROUNDDOWN(0.8*$D$1-0.35*(($D$1-3970)/(10290-3970))*$D$1,0)</f>
        <v>0</v>
      </c>
      <c r="H24" s="91">
        <f>IF(G24&lt;G25,G24,G25)</f>
        <v>0</v>
      </c>
      <c r="J24" s="106" t="s">
        <v>389</v>
      </c>
      <c r="K24" s="107"/>
      <c r="L24" s="102" t="s">
        <v>393</v>
      </c>
      <c r="M24" s="102"/>
      <c r="N24" s="102"/>
      <c r="O24" s="102"/>
      <c r="P24">
        <f>ROUNDDOWN((-7*D1*D1+128130*D1)/125600,0)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374</v>
      </c>
      <c r="D25" s="104"/>
      <c r="E25" s="104"/>
      <c r="F25" s="105"/>
      <c r="G25">
        <f>ROUNDDOWN(0.05*D1+(10290*0.4),0)</f>
        <v>4116</v>
      </c>
      <c r="H25" s="91"/>
      <c r="J25" s="108"/>
      <c r="K25" s="109"/>
      <c r="L25" s="103" t="s">
        <v>394</v>
      </c>
      <c r="M25" s="104"/>
      <c r="N25" s="104"/>
      <c r="O25" s="105"/>
      <c r="P25">
        <f>ROUNDDOWN(0.05*D1+4092,0)</f>
        <v>4092</v>
      </c>
      <c r="Q25" s="91"/>
      <c r="R25" s="112"/>
    </row>
    <row r="26" spans="1:18" x14ac:dyDescent="0.4">
      <c r="A26" s="101" t="s">
        <v>376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390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377</v>
      </c>
      <c r="B27" s="101"/>
      <c r="C27" s="102" t="s">
        <v>375</v>
      </c>
      <c r="D27" s="102"/>
      <c r="E27" s="102"/>
      <c r="F27" s="102"/>
      <c r="G27">
        <f>6588</f>
        <v>6588</v>
      </c>
      <c r="J27" s="101" t="s">
        <v>391</v>
      </c>
      <c r="K27" s="101"/>
      <c r="L27" s="102" t="s">
        <v>392</v>
      </c>
      <c r="M27" s="102"/>
      <c r="N27" s="102"/>
      <c r="O27" s="102"/>
      <c r="P27">
        <f>6543</f>
        <v>6543</v>
      </c>
      <c r="R27">
        <f t="shared" si="0"/>
        <v>45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395</v>
      </c>
      <c r="C1" s="31" t="s">
        <v>7</v>
      </c>
      <c r="D1">
        <f>計算用!O3</f>
        <v>0</v>
      </c>
      <c r="E1" s="31"/>
    </row>
    <row r="2" spans="1:18" x14ac:dyDescent="0.4">
      <c r="C2" s="31"/>
      <c r="E2" s="31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0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396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413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397</v>
      </c>
      <c r="B6" s="101"/>
      <c r="C6" s="102" t="s">
        <v>400</v>
      </c>
      <c r="D6" s="102"/>
      <c r="E6" s="102"/>
      <c r="F6" s="102"/>
      <c r="G6">
        <f>ROUNDDOWN(0.8*$D$1-0.3*(($D$1-4060)/(11760-4060))*$D$1,0)</f>
        <v>0</v>
      </c>
      <c r="J6" s="101" t="s">
        <v>414</v>
      </c>
      <c r="K6" s="101"/>
      <c r="L6" s="102" t="s">
        <v>417</v>
      </c>
      <c r="M6" s="102"/>
      <c r="N6" s="102"/>
      <c r="O6" s="102"/>
      <c r="P6">
        <f>ROUNDDOWN((-3*D1*D1+73240*D1)/76400,0)</f>
        <v>0</v>
      </c>
      <c r="R6">
        <f t="shared" ref="R6:R27" si="0">G6-P6</f>
        <v>0</v>
      </c>
    </row>
    <row r="7" spans="1:18" x14ac:dyDescent="0.4">
      <c r="A7" s="101" t="s">
        <v>398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415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399</v>
      </c>
      <c r="B8" s="101"/>
      <c r="C8" s="102" t="s">
        <v>401</v>
      </c>
      <c r="D8" s="102"/>
      <c r="E8" s="102"/>
      <c r="F8" s="102"/>
      <c r="G8">
        <f>6330</f>
        <v>6330</v>
      </c>
      <c r="J8" s="101" t="s">
        <v>416</v>
      </c>
      <c r="K8" s="101"/>
      <c r="L8" s="102" t="s">
        <v>418</v>
      </c>
      <c r="M8" s="102"/>
      <c r="N8" s="102"/>
      <c r="O8" s="102"/>
      <c r="P8">
        <f>6290</f>
        <v>6290</v>
      </c>
      <c r="R8">
        <f t="shared" si="0"/>
        <v>40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396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413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397</v>
      </c>
      <c r="B12" s="101"/>
      <c r="C12" s="102" t="s">
        <v>400</v>
      </c>
      <c r="D12" s="102"/>
      <c r="E12" s="102"/>
      <c r="F12" s="102"/>
      <c r="G12">
        <f>ROUNDDOWN(0.8*$D$1-0.3*(($D$1-4060)/(11760-4060))*$D$1,0)</f>
        <v>0</v>
      </c>
      <c r="J12" s="101" t="s">
        <v>414</v>
      </c>
      <c r="K12" s="101"/>
      <c r="L12" s="102" t="s">
        <v>417</v>
      </c>
      <c r="M12" s="102"/>
      <c r="N12" s="102"/>
      <c r="O12" s="102"/>
      <c r="P12">
        <f>ROUNDDOWN((-3*D1*D1+73240*D1)/76400,0)</f>
        <v>0</v>
      </c>
      <c r="R12">
        <f t="shared" si="0"/>
        <v>0</v>
      </c>
    </row>
    <row r="13" spans="1:18" x14ac:dyDescent="0.4">
      <c r="A13" s="101" t="s">
        <v>402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419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403</v>
      </c>
      <c r="B14" s="101"/>
      <c r="C14" s="102" t="s">
        <v>404</v>
      </c>
      <c r="D14" s="102"/>
      <c r="E14" s="102"/>
      <c r="F14" s="102"/>
      <c r="G14">
        <f>7030</f>
        <v>7030</v>
      </c>
      <c r="J14" s="101" t="s">
        <v>420</v>
      </c>
      <c r="K14" s="101"/>
      <c r="L14" s="102" t="s">
        <v>421</v>
      </c>
      <c r="M14" s="102"/>
      <c r="N14" s="102"/>
      <c r="O14" s="102"/>
      <c r="P14">
        <f>6990</f>
        <v>6990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396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413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397</v>
      </c>
      <c r="B18" s="101"/>
      <c r="C18" s="102" t="s">
        <v>400</v>
      </c>
      <c r="D18" s="102"/>
      <c r="E18" s="102"/>
      <c r="F18" s="102"/>
      <c r="G18">
        <f>ROUNDDOWN(0.8*$D$1-0.3*(($D$1-4060)/(11760-4060))*$D$1,0)</f>
        <v>0</v>
      </c>
      <c r="J18" s="101" t="s">
        <v>414</v>
      </c>
      <c r="K18" s="101"/>
      <c r="L18" s="102" t="s">
        <v>417</v>
      </c>
      <c r="M18" s="102"/>
      <c r="N18" s="102"/>
      <c r="O18" s="102"/>
      <c r="P18">
        <f>ROUNDDOWN((-3*D1*D1+73240*D1)/76400,0)</f>
        <v>0</v>
      </c>
      <c r="R18">
        <f t="shared" si="0"/>
        <v>0</v>
      </c>
    </row>
    <row r="19" spans="1:18" x14ac:dyDescent="0.4">
      <c r="A19" s="101" t="s">
        <v>405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422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406</v>
      </c>
      <c r="B20" s="101"/>
      <c r="C20" s="102" t="s">
        <v>407</v>
      </c>
      <c r="D20" s="102"/>
      <c r="E20" s="102"/>
      <c r="F20" s="102"/>
      <c r="G20">
        <f>7740</f>
        <v>7740</v>
      </c>
      <c r="J20" s="101" t="s">
        <v>423</v>
      </c>
      <c r="K20" s="101"/>
      <c r="L20" s="102" t="s">
        <v>424</v>
      </c>
      <c r="M20" s="102"/>
      <c r="N20" s="102"/>
      <c r="O20" s="102"/>
      <c r="P20">
        <f>7685</f>
        <v>7685</v>
      </c>
      <c r="R20">
        <f t="shared" si="0"/>
        <v>55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396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01" t="s">
        <v>413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408</v>
      </c>
      <c r="B24" s="107"/>
      <c r="C24" s="102" t="s">
        <v>411</v>
      </c>
      <c r="D24" s="102"/>
      <c r="E24" s="102"/>
      <c r="F24" s="102"/>
      <c r="G24">
        <f>ROUNDDOWN(0.8*$D$1-0.35*(($D$1-4060)/(10540-4060))*$D$1,0)</f>
        <v>0</v>
      </c>
      <c r="H24" s="91">
        <f>IF(G24&lt;G25,G24,G25)</f>
        <v>0</v>
      </c>
      <c r="J24" s="106" t="s">
        <v>425</v>
      </c>
      <c r="K24" s="107"/>
      <c r="L24" s="102" t="s">
        <v>429</v>
      </c>
      <c r="M24" s="102"/>
      <c r="N24" s="102"/>
      <c r="O24" s="102"/>
      <c r="P24">
        <f>ROUNDDOWN((-7*D1*D1+131160*D1)/128600,0)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412</v>
      </c>
      <c r="D25" s="104"/>
      <c r="E25" s="104"/>
      <c r="F25" s="105"/>
      <c r="G25">
        <f>ROUNDDOWN(0.05*D1+(10540*0.4),0)</f>
        <v>4216</v>
      </c>
      <c r="H25" s="91"/>
      <c r="J25" s="108"/>
      <c r="K25" s="109"/>
      <c r="L25" s="103" t="s">
        <v>430</v>
      </c>
      <c r="M25" s="104"/>
      <c r="N25" s="104"/>
      <c r="O25" s="105"/>
      <c r="P25">
        <f>ROUNDDOWN(0.05*D1+4188,0)</f>
        <v>4188</v>
      </c>
      <c r="Q25" s="91"/>
      <c r="R25" s="112"/>
    </row>
    <row r="26" spans="1:18" x14ac:dyDescent="0.4">
      <c r="A26" s="101" t="s">
        <v>409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426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31</v>
      </c>
      <c r="B27" s="101"/>
      <c r="C27" s="102" t="s">
        <v>410</v>
      </c>
      <c r="D27" s="102"/>
      <c r="E27" s="102"/>
      <c r="F27" s="102"/>
      <c r="G27">
        <f>6745</f>
        <v>6745</v>
      </c>
      <c r="J27" s="101" t="s">
        <v>427</v>
      </c>
      <c r="K27" s="101"/>
      <c r="L27" s="102" t="s">
        <v>428</v>
      </c>
      <c r="M27" s="102"/>
      <c r="N27" s="102"/>
      <c r="O27" s="102"/>
      <c r="P27">
        <f>6700</f>
        <v>6700</v>
      </c>
      <c r="R27">
        <f t="shared" si="0"/>
        <v>45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>
      <selection activeCell="G11" sqref="G11"/>
    </sheetView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431</v>
      </c>
      <c r="C1" s="31" t="s">
        <v>7</v>
      </c>
      <c r="D1">
        <f>計算用!O3</f>
        <v>0</v>
      </c>
      <c r="E1" s="31"/>
    </row>
    <row r="2" spans="1:18" x14ac:dyDescent="0.4">
      <c r="C2" s="31"/>
      <c r="E2" s="31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0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432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396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433</v>
      </c>
      <c r="B6" s="101"/>
      <c r="C6" s="102" t="s">
        <v>436</v>
      </c>
      <c r="D6" s="102"/>
      <c r="E6" s="102"/>
      <c r="F6" s="102"/>
      <c r="G6">
        <f>ROUNDDOWN(0.8*$D$1-0.3*(($D$1-4080)/(11830-4080))*$D$1,0)</f>
        <v>0</v>
      </c>
      <c r="J6" s="101" t="s">
        <v>448</v>
      </c>
      <c r="K6" s="101"/>
      <c r="L6" s="102" t="s">
        <v>450</v>
      </c>
      <c r="M6" s="102"/>
      <c r="N6" s="102"/>
      <c r="O6" s="102"/>
      <c r="P6">
        <f>ROUNDDOWN((-3*D1*D1+73700*D1)/76900,0)</f>
        <v>0</v>
      </c>
      <c r="R6">
        <f t="shared" ref="R6:R27" si="0">G6-P6</f>
        <v>0</v>
      </c>
    </row>
    <row r="7" spans="1:18" x14ac:dyDescent="0.4">
      <c r="A7" s="101" t="s">
        <v>434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449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169</v>
      </c>
      <c r="B8" s="101"/>
      <c r="C8" s="102" t="s">
        <v>435</v>
      </c>
      <c r="D8" s="102"/>
      <c r="E8" s="102"/>
      <c r="F8" s="102"/>
      <c r="G8">
        <f>6370</f>
        <v>6370</v>
      </c>
      <c r="J8" s="101" t="s">
        <v>399</v>
      </c>
      <c r="K8" s="101"/>
      <c r="L8" s="102" t="s">
        <v>451</v>
      </c>
      <c r="M8" s="102"/>
      <c r="N8" s="102"/>
      <c r="O8" s="102"/>
      <c r="P8">
        <f>6330</f>
        <v>6330</v>
      </c>
      <c r="R8">
        <f t="shared" si="0"/>
        <v>40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432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396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433</v>
      </c>
      <c r="B12" s="101"/>
      <c r="C12" s="102" t="s">
        <v>436</v>
      </c>
      <c r="D12" s="102"/>
      <c r="E12" s="102"/>
      <c r="F12" s="102"/>
      <c r="G12">
        <f>ROUNDDOWN(0.8*$D$1-0.3*(($D$1-4080)/(11830-4080))*$D$1,0)</f>
        <v>0</v>
      </c>
      <c r="J12" s="101" t="s">
        <v>448</v>
      </c>
      <c r="K12" s="101"/>
      <c r="L12" s="102" t="s">
        <v>450</v>
      </c>
      <c r="M12" s="102"/>
      <c r="N12" s="102"/>
      <c r="O12" s="102"/>
      <c r="P12">
        <f>ROUNDDOWN((-3*D1*D1+73700*D1)/76900,0)</f>
        <v>0</v>
      </c>
      <c r="R12">
        <f t="shared" si="0"/>
        <v>0</v>
      </c>
    </row>
    <row r="13" spans="1:18" x14ac:dyDescent="0.4">
      <c r="A13" s="101" t="s">
        <v>438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452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439</v>
      </c>
      <c r="B14" s="101"/>
      <c r="C14" s="102" t="s">
        <v>437</v>
      </c>
      <c r="D14" s="102"/>
      <c r="E14" s="102"/>
      <c r="F14" s="102"/>
      <c r="G14">
        <f>7070</f>
        <v>7070</v>
      </c>
      <c r="J14" s="101" t="s">
        <v>403</v>
      </c>
      <c r="K14" s="101"/>
      <c r="L14" s="102" t="s">
        <v>404</v>
      </c>
      <c r="M14" s="102"/>
      <c r="N14" s="102"/>
      <c r="O14" s="102"/>
      <c r="P14">
        <f>7030</f>
        <v>7030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432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396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433</v>
      </c>
      <c r="B18" s="101"/>
      <c r="C18" s="102" t="s">
        <v>436</v>
      </c>
      <c r="D18" s="102"/>
      <c r="E18" s="102"/>
      <c r="F18" s="102"/>
      <c r="G18">
        <f>ROUNDDOWN(0.8*$D$1-0.3*(($D$1-4080)/(11830-4080))*$D$1,0)</f>
        <v>0</v>
      </c>
      <c r="J18" s="101" t="s">
        <v>448</v>
      </c>
      <c r="K18" s="101"/>
      <c r="L18" s="102" t="s">
        <v>450</v>
      </c>
      <c r="M18" s="102"/>
      <c r="N18" s="102"/>
      <c r="O18" s="102"/>
      <c r="P18">
        <f>ROUNDDOWN((-3*D1*D1+73700*D1)/76900,0)</f>
        <v>0</v>
      </c>
      <c r="R18">
        <f t="shared" si="0"/>
        <v>0</v>
      </c>
    </row>
    <row r="19" spans="1:18" x14ac:dyDescent="0.4">
      <c r="A19" s="101" t="s">
        <v>440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455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441</v>
      </c>
      <c r="B20" s="101"/>
      <c r="C20" s="102" t="s">
        <v>442</v>
      </c>
      <c r="D20" s="102"/>
      <c r="E20" s="102"/>
      <c r="F20" s="102"/>
      <c r="G20">
        <f>7785</f>
        <v>7785</v>
      </c>
      <c r="J20" s="101" t="s">
        <v>454</v>
      </c>
      <c r="K20" s="101"/>
      <c r="L20" s="102" t="s">
        <v>453</v>
      </c>
      <c r="M20" s="102"/>
      <c r="N20" s="102"/>
      <c r="O20" s="102"/>
      <c r="P20">
        <f>7730</f>
        <v>7730</v>
      </c>
      <c r="R20">
        <f t="shared" si="0"/>
        <v>55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432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01" t="s">
        <v>396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443</v>
      </c>
      <c r="B24" s="107"/>
      <c r="C24" s="102" t="s">
        <v>446</v>
      </c>
      <c r="D24" s="102"/>
      <c r="E24" s="102"/>
      <c r="F24" s="102"/>
      <c r="G24">
        <f>ROUNDDOWN(0.8*$D$1-0.35*(($D$1-4080)/(10600-4080))*$D$1,0)</f>
        <v>0</v>
      </c>
      <c r="H24" s="91">
        <f>IF(G24&lt;G25,G24,G25)</f>
        <v>0</v>
      </c>
      <c r="J24" s="106" t="s">
        <v>456</v>
      </c>
      <c r="K24" s="107"/>
      <c r="L24" s="102" t="s">
        <v>461</v>
      </c>
      <c r="M24" s="102"/>
      <c r="N24" s="102"/>
      <c r="O24" s="102"/>
      <c r="P24">
        <f>ROUNDDOWN((-7*D1*D1+131940*D1)/129400,0)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447</v>
      </c>
      <c r="D25" s="104"/>
      <c r="E25" s="104"/>
      <c r="F25" s="105"/>
      <c r="G25">
        <f>ROUNDDOWN(0.05*D1+(10600*0.4),0)</f>
        <v>4240</v>
      </c>
      <c r="H25" s="91"/>
      <c r="J25" s="108"/>
      <c r="K25" s="109"/>
      <c r="L25" s="103" t="s">
        <v>460</v>
      </c>
      <c r="M25" s="104"/>
      <c r="N25" s="104"/>
      <c r="O25" s="105"/>
      <c r="P25">
        <f>ROUNDDOWN(0.05*D1+4212,0)</f>
        <v>4212</v>
      </c>
      <c r="Q25" s="91"/>
      <c r="R25" s="112"/>
    </row>
    <row r="26" spans="1:18" x14ac:dyDescent="0.4">
      <c r="A26" s="101" t="s">
        <v>476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457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444</v>
      </c>
      <c r="B27" s="101"/>
      <c r="C27" s="102" t="s">
        <v>445</v>
      </c>
      <c r="D27" s="102"/>
      <c r="E27" s="102"/>
      <c r="F27" s="102"/>
      <c r="G27">
        <f>6786</f>
        <v>6786</v>
      </c>
      <c r="J27" s="101" t="s">
        <v>458</v>
      </c>
      <c r="K27" s="101"/>
      <c r="L27" s="102" t="s">
        <v>459</v>
      </c>
      <c r="M27" s="102"/>
      <c r="N27" s="102"/>
      <c r="O27" s="102"/>
      <c r="P27">
        <f>6741</f>
        <v>6741</v>
      </c>
      <c r="R27">
        <f t="shared" si="0"/>
        <v>45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462</v>
      </c>
      <c r="C1" s="31" t="s">
        <v>7</v>
      </c>
      <c r="D1">
        <f>計算用!O3</f>
        <v>0</v>
      </c>
      <c r="E1" s="31"/>
    </row>
    <row r="2" spans="1:18" x14ac:dyDescent="0.4">
      <c r="C2" s="31"/>
      <c r="E2" s="31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0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463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10" t="s">
        <v>432</v>
      </c>
      <c r="K5" s="11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464</v>
      </c>
      <c r="B6" s="101"/>
      <c r="C6" s="102" t="s">
        <v>466</v>
      </c>
      <c r="D6" s="102"/>
      <c r="E6" s="102"/>
      <c r="F6" s="102"/>
      <c r="G6">
        <f>ROUNDDOWN(0.8*$D$1-0.3*(($D$1-4100)/(11890-4100))*$D$1,0)</f>
        <v>0</v>
      </c>
      <c r="J6" s="110" t="s">
        <v>477</v>
      </c>
      <c r="K6" s="111"/>
      <c r="L6" s="102" t="s">
        <v>480</v>
      </c>
      <c r="M6" s="102"/>
      <c r="N6" s="102"/>
      <c r="O6" s="102"/>
      <c r="P6">
        <f>ROUNDDOWN((-3*D1*D1+74160*D1)/77400,0)</f>
        <v>0</v>
      </c>
      <c r="R6">
        <f t="shared" ref="R6:R27" si="0">G6-P6</f>
        <v>0</v>
      </c>
    </row>
    <row r="7" spans="1:18" x14ac:dyDescent="0.4">
      <c r="A7" s="101" t="s">
        <v>465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478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225</v>
      </c>
      <c r="B8" s="101"/>
      <c r="C8" s="102" t="s">
        <v>226</v>
      </c>
      <c r="D8" s="102"/>
      <c r="E8" s="102"/>
      <c r="F8" s="102"/>
      <c r="G8">
        <f>6405</f>
        <v>6405</v>
      </c>
      <c r="J8" s="101" t="s">
        <v>479</v>
      </c>
      <c r="K8" s="101"/>
      <c r="L8" s="102" t="s">
        <v>481</v>
      </c>
      <c r="M8" s="102"/>
      <c r="N8" s="102"/>
      <c r="O8" s="102"/>
      <c r="P8">
        <f>6365</f>
        <v>6365</v>
      </c>
      <c r="R8">
        <f t="shared" si="0"/>
        <v>40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463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10" t="s">
        <v>432</v>
      </c>
      <c r="K11" s="11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464</v>
      </c>
      <c r="B12" s="101"/>
      <c r="C12" s="102" t="s">
        <v>466</v>
      </c>
      <c r="D12" s="102"/>
      <c r="E12" s="102"/>
      <c r="F12" s="102"/>
      <c r="G12">
        <f>ROUNDDOWN(0.8*$D$1-0.3*(($D$1-4100)/(11890-4100))*$D$1,0)</f>
        <v>0</v>
      </c>
      <c r="J12" s="110" t="s">
        <v>477</v>
      </c>
      <c r="K12" s="111"/>
      <c r="L12" s="102" t="s">
        <v>480</v>
      </c>
      <c r="M12" s="102"/>
      <c r="N12" s="102"/>
      <c r="O12" s="102"/>
      <c r="P12">
        <f>ROUNDDOWN((-3*D1*D1+74160*D1)/77400,0)</f>
        <v>0</v>
      </c>
      <c r="R12">
        <f t="shared" si="0"/>
        <v>0</v>
      </c>
    </row>
    <row r="13" spans="1:18" x14ac:dyDescent="0.4">
      <c r="A13" s="101" t="s">
        <v>467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482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228</v>
      </c>
      <c r="B14" s="101"/>
      <c r="C14" s="102" t="s">
        <v>229</v>
      </c>
      <c r="D14" s="102"/>
      <c r="E14" s="102"/>
      <c r="F14" s="102"/>
      <c r="G14">
        <f>7110</f>
        <v>7110</v>
      </c>
      <c r="J14" s="101" t="s">
        <v>439</v>
      </c>
      <c r="K14" s="101"/>
      <c r="L14" s="102" t="s">
        <v>437</v>
      </c>
      <c r="M14" s="102"/>
      <c r="N14" s="102"/>
      <c r="O14" s="102"/>
      <c r="P14">
        <f>7070</f>
        <v>7070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463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10" t="s">
        <v>432</v>
      </c>
      <c r="K17" s="11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464</v>
      </c>
      <c r="B18" s="101"/>
      <c r="C18" s="102" t="s">
        <v>466</v>
      </c>
      <c r="D18" s="102"/>
      <c r="E18" s="102"/>
      <c r="F18" s="102"/>
      <c r="G18">
        <f>ROUNDDOWN(0.8*$D$1-0.3*(($D$1-4100)/(11890-4100))*$D$1,0)</f>
        <v>0</v>
      </c>
      <c r="J18" s="110" t="s">
        <v>477</v>
      </c>
      <c r="K18" s="111"/>
      <c r="L18" s="102" t="s">
        <v>480</v>
      </c>
      <c r="M18" s="102"/>
      <c r="N18" s="102"/>
      <c r="O18" s="102"/>
      <c r="P18">
        <f>ROUNDDOWN((-3*D1*D1+74160*D1)/77400,0)</f>
        <v>0</v>
      </c>
      <c r="R18">
        <f t="shared" si="0"/>
        <v>0</v>
      </c>
    </row>
    <row r="19" spans="1:18" x14ac:dyDescent="0.4">
      <c r="A19" s="101" t="s">
        <v>468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484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149</v>
      </c>
      <c r="B20" s="101"/>
      <c r="C20" s="102" t="s">
        <v>469</v>
      </c>
      <c r="D20" s="102"/>
      <c r="E20" s="102"/>
      <c r="F20" s="102"/>
      <c r="G20">
        <f>7825</f>
        <v>7825</v>
      </c>
      <c r="J20" s="101" t="s">
        <v>174</v>
      </c>
      <c r="K20" s="101"/>
      <c r="L20" s="102" t="s">
        <v>483</v>
      </c>
      <c r="M20" s="102"/>
      <c r="N20" s="102"/>
      <c r="O20" s="102"/>
      <c r="P20">
        <f>7775</f>
        <v>7775</v>
      </c>
      <c r="R20">
        <f t="shared" si="0"/>
        <v>50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463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432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470</v>
      </c>
      <c r="B24" s="107"/>
      <c r="C24" s="102" t="s">
        <v>471</v>
      </c>
      <c r="D24" s="102"/>
      <c r="E24" s="102"/>
      <c r="F24" s="102"/>
      <c r="G24">
        <f>ROUNDDOWN(0.8*$D$1-0.35*(($D$1-4100)/(10660-4100))*$D$1,0)</f>
        <v>0</v>
      </c>
      <c r="H24" s="91">
        <f>IF(G24&lt;G25,G24,G25)</f>
        <v>0</v>
      </c>
      <c r="J24" s="106" t="s">
        <v>485</v>
      </c>
      <c r="K24" s="107"/>
      <c r="L24" s="102" t="s">
        <v>487</v>
      </c>
      <c r="M24" s="102"/>
      <c r="N24" s="102"/>
      <c r="O24" s="102"/>
      <c r="P24">
        <f>ROUNDDOWN((-7*D1*D1+132720*D1)/130200,0)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472</v>
      </c>
      <c r="D25" s="104"/>
      <c r="E25" s="104"/>
      <c r="F25" s="105"/>
      <c r="G25">
        <f>ROUNDDOWN(0.05*D1+(10660*0.4),0)</f>
        <v>4264</v>
      </c>
      <c r="H25" s="91"/>
      <c r="J25" s="108"/>
      <c r="K25" s="109"/>
      <c r="L25" s="103" t="s">
        <v>488</v>
      </c>
      <c r="M25" s="104"/>
      <c r="N25" s="104"/>
      <c r="O25" s="105"/>
      <c r="P25">
        <f>ROUNDDOWN(0.05*D1+4236,0)</f>
        <v>4236</v>
      </c>
      <c r="Q25" s="91"/>
      <c r="R25" s="112"/>
    </row>
    <row r="26" spans="1:18" x14ac:dyDescent="0.4">
      <c r="A26" s="101" t="s">
        <v>475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486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474</v>
      </c>
      <c r="B27" s="101"/>
      <c r="C27" s="102" t="s">
        <v>473</v>
      </c>
      <c r="D27" s="102"/>
      <c r="E27" s="102"/>
      <c r="F27" s="102"/>
      <c r="G27">
        <f>6822</f>
        <v>6822</v>
      </c>
      <c r="J27" s="101" t="s">
        <v>326</v>
      </c>
      <c r="K27" s="101"/>
      <c r="L27" s="102" t="s">
        <v>489</v>
      </c>
      <c r="M27" s="102"/>
      <c r="N27" s="102"/>
      <c r="O27" s="102"/>
      <c r="P27">
        <f>6777</f>
        <v>6777</v>
      </c>
      <c r="R27">
        <f t="shared" si="0"/>
        <v>45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7"/>
  <sheetViews>
    <sheetView zoomScale="70" zoomScaleNormal="70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490</v>
      </c>
      <c r="C1" s="33" t="s">
        <v>7</v>
      </c>
      <c r="D1">
        <f>計算用!O3</f>
        <v>0</v>
      </c>
      <c r="E1" s="33"/>
    </row>
    <row r="2" spans="1:18" x14ac:dyDescent="0.4">
      <c r="C2" s="33"/>
      <c r="E2" s="33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2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491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10" t="s">
        <v>463</v>
      </c>
      <c r="K5" s="11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492</v>
      </c>
      <c r="B6" s="101"/>
      <c r="C6" s="102" t="s">
        <v>496</v>
      </c>
      <c r="D6" s="102"/>
      <c r="E6" s="102"/>
      <c r="F6" s="102"/>
      <c r="G6">
        <f>ROUNDDOWN(0.8*$D$1-0.3*(($D$1-4120)/(11940-4120))*$D$1,0)</f>
        <v>0</v>
      </c>
      <c r="J6" s="110" t="s">
        <v>510</v>
      </c>
      <c r="K6" s="111"/>
      <c r="L6" s="102" t="s">
        <v>512</v>
      </c>
      <c r="M6" s="102"/>
      <c r="N6" s="102"/>
      <c r="O6" s="102"/>
      <c r="P6">
        <f>ROUNDDOWN((-3*D1*D1+74460*D1)/77700,0)</f>
        <v>0</v>
      </c>
      <c r="R6">
        <f t="shared" ref="R6:R27" si="0">G6-P6</f>
        <v>0</v>
      </c>
    </row>
    <row r="7" spans="1:18" x14ac:dyDescent="0.4">
      <c r="A7" s="101" t="s">
        <v>493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511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494</v>
      </c>
      <c r="B8" s="101"/>
      <c r="C8" s="102" t="s">
        <v>495</v>
      </c>
      <c r="D8" s="102"/>
      <c r="E8" s="102"/>
      <c r="F8" s="102"/>
      <c r="G8">
        <f>6435</f>
        <v>6435</v>
      </c>
      <c r="J8" s="101" t="s">
        <v>189</v>
      </c>
      <c r="K8" s="101"/>
      <c r="L8" s="102" t="s">
        <v>513</v>
      </c>
      <c r="M8" s="102"/>
      <c r="N8" s="102"/>
      <c r="O8" s="102"/>
      <c r="P8">
        <f>6395</f>
        <v>6395</v>
      </c>
      <c r="R8">
        <f t="shared" si="0"/>
        <v>40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491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10" t="s">
        <v>463</v>
      </c>
      <c r="K11" s="11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492</v>
      </c>
      <c r="B12" s="101"/>
      <c r="C12" s="102" t="s">
        <v>496</v>
      </c>
      <c r="D12" s="102"/>
      <c r="E12" s="102"/>
      <c r="F12" s="102"/>
      <c r="G12">
        <f>ROUNDDOWN(0.8*$D$1-0.3*(($D$1-4120)/(11940-4120))*$D$1,0)</f>
        <v>0</v>
      </c>
      <c r="J12" s="110" t="s">
        <v>510</v>
      </c>
      <c r="K12" s="111"/>
      <c r="L12" s="102" t="s">
        <v>512</v>
      </c>
      <c r="M12" s="102"/>
      <c r="N12" s="102"/>
      <c r="O12" s="102"/>
      <c r="P12">
        <f>ROUNDDOWN((-3*D1*D1+74460*D1)/77700,0)</f>
        <v>0</v>
      </c>
      <c r="R12">
        <f t="shared" si="0"/>
        <v>0</v>
      </c>
    </row>
    <row r="13" spans="1:18" x14ac:dyDescent="0.4">
      <c r="A13" s="101" t="s">
        <v>497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514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498</v>
      </c>
      <c r="B14" s="101"/>
      <c r="C14" s="102" t="s">
        <v>499</v>
      </c>
      <c r="D14" s="102"/>
      <c r="E14" s="102"/>
      <c r="F14" s="102"/>
      <c r="G14">
        <f>7140</f>
        <v>7140</v>
      </c>
      <c r="J14" s="101" t="s">
        <v>515</v>
      </c>
      <c r="K14" s="101"/>
      <c r="L14" s="102" t="s">
        <v>516</v>
      </c>
      <c r="M14" s="102"/>
      <c r="N14" s="102"/>
      <c r="O14" s="102"/>
      <c r="P14">
        <f>7100</f>
        <v>7100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491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10" t="s">
        <v>463</v>
      </c>
      <c r="K17" s="11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492</v>
      </c>
      <c r="B18" s="101"/>
      <c r="C18" s="102" t="s">
        <v>496</v>
      </c>
      <c r="D18" s="102"/>
      <c r="E18" s="102"/>
      <c r="F18" s="102"/>
      <c r="G18">
        <f>ROUNDDOWN(0.8*$D$1-0.3*(($D$1-4120)/(11940-4120))*$D$1,0)</f>
        <v>0</v>
      </c>
      <c r="J18" s="110" t="s">
        <v>510</v>
      </c>
      <c r="K18" s="111"/>
      <c r="L18" s="102" t="s">
        <v>512</v>
      </c>
      <c r="M18" s="102"/>
      <c r="N18" s="102"/>
      <c r="O18" s="102"/>
      <c r="P18">
        <f>ROUNDDOWN((-3*D1*D1+74460*D1)/77700,0)</f>
        <v>0</v>
      </c>
      <c r="R18">
        <f t="shared" si="0"/>
        <v>0</v>
      </c>
    </row>
    <row r="19" spans="1:18" x14ac:dyDescent="0.4">
      <c r="A19" s="101" t="s">
        <v>500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517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501</v>
      </c>
      <c r="B20" s="101"/>
      <c r="C20" s="102" t="s">
        <v>502</v>
      </c>
      <c r="D20" s="102"/>
      <c r="E20" s="102"/>
      <c r="F20" s="102"/>
      <c r="G20">
        <f>7860</f>
        <v>7860</v>
      </c>
      <c r="J20" s="101" t="s">
        <v>193</v>
      </c>
      <c r="K20" s="101"/>
      <c r="L20" s="102" t="s">
        <v>217</v>
      </c>
      <c r="M20" s="102"/>
      <c r="N20" s="102"/>
      <c r="O20" s="102"/>
      <c r="P20">
        <f>7810</f>
        <v>7810</v>
      </c>
      <c r="R20">
        <f t="shared" si="0"/>
        <v>50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491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432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503</v>
      </c>
      <c r="B24" s="107"/>
      <c r="C24" s="102" t="s">
        <v>506</v>
      </c>
      <c r="D24" s="102"/>
      <c r="E24" s="102"/>
      <c r="F24" s="102"/>
      <c r="G24">
        <f>ROUNDDOWN(0.8*$D$1-0.35*(($D$1-4120)/(10710-4120))*$D$1,0)</f>
        <v>0</v>
      </c>
      <c r="H24" s="91">
        <f>IF(G24&lt;G25,G24,G25)</f>
        <v>0</v>
      </c>
      <c r="J24" s="106" t="s">
        <v>509</v>
      </c>
      <c r="K24" s="107"/>
      <c r="L24" s="102" t="s">
        <v>521</v>
      </c>
      <c r="M24" s="102"/>
      <c r="N24" s="102"/>
      <c r="O24" s="102"/>
      <c r="P24">
        <f>ROUNDDOWN((-7*D1*D1+133340*D1)/130800,0)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507</v>
      </c>
      <c r="D25" s="104"/>
      <c r="E25" s="104"/>
      <c r="F25" s="105"/>
      <c r="G25">
        <f>ROUNDDOWN(0.05*D1+(10710*0.4),0)</f>
        <v>4284</v>
      </c>
      <c r="H25" s="91"/>
      <c r="J25" s="108"/>
      <c r="K25" s="109"/>
      <c r="L25" s="103" t="s">
        <v>522</v>
      </c>
      <c r="M25" s="104"/>
      <c r="N25" s="104"/>
      <c r="O25" s="105"/>
      <c r="P25">
        <f>ROUNDDOWN(0.05*D1+4256,0)</f>
        <v>4256</v>
      </c>
      <c r="Q25" s="91"/>
      <c r="R25" s="112"/>
    </row>
    <row r="26" spans="1:18" x14ac:dyDescent="0.4">
      <c r="A26" s="101" t="s">
        <v>504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520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505</v>
      </c>
      <c r="B27" s="101"/>
      <c r="C27" s="102" t="s">
        <v>508</v>
      </c>
      <c r="D27" s="102"/>
      <c r="E27" s="102"/>
      <c r="F27" s="102"/>
      <c r="G27">
        <f>6853</f>
        <v>6853</v>
      </c>
      <c r="J27" s="101" t="s">
        <v>519</v>
      </c>
      <c r="K27" s="101"/>
      <c r="L27" s="102" t="s">
        <v>518</v>
      </c>
      <c r="M27" s="102"/>
      <c r="N27" s="102"/>
      <c r="O27" s="102"/>
      <c r="P27">
        <f>6808</f>
        <v>6808</v>
      </c>
      <c r="R27">
        <f t="shared" si="0"/>
        <v>45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7"/>
  <sheetViews>
    <sheetView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523</v>
      </c>
      <c r="C1" s="35" t="s">
        <v>7</v>
      </c>
      <c r="D1">
        <f>計算用!O3</f>
        <v>0</v>
      </c>
      <c r="E1" s="35"/>
    </row>
    <row r="2" spans="1:18" x14ac:dyDescent="0.4">
      <c r="C2" s="35"/>
      <c r="E2" s="35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4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463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10" t="s">
        <v>432</v>
      </c>
      <c r="K5" s="11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524</v>
      </c>
      <c r="B6" s="101"/>
      <c r="C6" s="102" t="s">
        <v>527</v>
      </c>
      <c r="D6" s="102"/>
      <c r="E6" s="102"/>
      <c r="F6" s="102"/>
      <c r="G6">
        <f>ROUNDDOWN(0.8*$D$1-0.3*(($D$1-4100)/(11900-4100))*$D$1,0)</f>
        <v>0</v>
      </c>
      <c r="J6" s="110" t="s">
        <v>433</v>
      </c>
      <c r="K6" s="111"/>
      <c r="L6" s="102" t="s">
        <v>538</v>
      </c>
      <c r="M6" s="102"/>
      <c r="N6" s="102"/>
      <c r="O6" s="102"/>
      <c r="P6">
        <f>ROUNDDOWN((-3*D1*D1+74240*D1)/77500,0)</f>
        <v>0</v>
      </c>
      <c r="R6">
        <f t="shared" ref="R6:R27" si="0">G6-P6</f>
        <v>0</v>
      </c>
    </row>
    <row r="7" spans="1:18" x14ac:dyDescent="0.4">
      <c r="A7" s="101" t="s">
        <v>525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434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526</v>
      </c>
      <c r="B8" s="101"/>
      <c r="C8" s="102" t="s">
        <v>528</v>
      </c>
      <c r="D8" s="102"/>
      <c r="E8" s="102"/>
      <c r="F8" s="102"/>
      <c r="G8">
        <f>6410</f>
        <v>6410</v>
      </c>
      <c r="J8" s="101" t="s">
        <v>169</v>
      </c>
      <c r="K8" s="101"/>
      <c r="L8" s="102" t="s">
        <v>539</v>
      </c>
      <c r="M8" s="102"/>
      <c r="N8" s="102"/>
      <c r="O8" s="102"/>
      <c r="P8">
        <f>6370</f>
        <v>6370</v>
      </c>
      <c r="R8">
        <f t="shared" si="0"/>
        <v>40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463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10" t="s">
        <v>432</v>
      </c>
      <c r="K11" s="11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524</v>
      </c>
      <c r="B12" s="101"/>
      <c r="C12" s="102" t="s">
        <v>527</v>
      </c>
      <c r="D12" s="102"/>
      <c r="E12" s="102"/>
      <c r="F12" s="102"/>
      <c r="G12">
        <f>ROUNDDOWN(0.8*$D$1-0.3*(($D$1-4100)/(11900-4100))*$D$1,0)</f>
        <v>0</v>
      </c>
      <c r="J12" s="110" t="s">
        <v>433</v>
      </c>
      <c r="K12" s="111"/>
      <c r="L12" s="102" t="s">
        <v>538</v>
      </c>
      <c r="M12" s="102"/>
      <c r="N12" s="102"/>
      <c r="O12" s="102"/>
      <c r="P12">
        <f>ROUNDDOWN((-3*D1*D1+74240*D1)/77500,0)</f>
        <v>0</v>
      </c>
      <c r="R12">
        <f t="shared" si="0"/>
        <v>0</v>
      </c>
    </row>
    <row r="13" spans="1:18" x14ac:dyDescent="0.4">
      <c r="A13" s="101" t="s">
        <v>529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540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255</v>
      </c>
      <c r="B14" s="101"/>
      <c r="C14" s="102" t="s">
        <v>530</v>
      </c>
      <c r="D14" s="102"/>
      <c r="E14" s="102"/>
      <c r="F14" s="102"/>
      <c r="G14">
        <f>7115</f>
        <v>7115</v>
      </c>
      <c r="J14" s="101" t="s">
        <v>178</v>
      </c>
      <c r="K14" s="101"/>
      <c r="L14" s="102" t="s">
        <v>176</v>
      </c>
      <c r="M14" s="102"/>
      <c r="N14" s="102"/>
      <c r="O14" s="102"/>
      <c r="P14">
        <f>7075</f>
        <v>7075</v>
      </c>
      <c r="R14">
        <f t="shared" si="0"/>
        <v>40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463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10" t="s">
        <v>432</v>
      </c>
      <c r="K17" s="11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524</v>
      </c>
      <c r="B18" s="101"/>
      <c r="C18" s="102" t="s">
        <v>527</v>
      </c>
      <c r="D18" s="102"/>
      <c r="E18" s="102"/>
      <c r="F18" s="102"/>
      <c r="G18">
        <f>ROUNDDOWN(0.8*$D$1-0.3*(($D$1-4100)/(11900-4100))*$D$1,0)</f>
        <v>0</v>
      </c>
      <c r="J18" s="110" t="s">
        <v>433</v>
      </c>
      <c r="K18" s="111"/>
      <c r="L18" s="102" t="s">
        <v>538</v>
      </c>
      <c r="M18" s="102"/>
      <c r="N18" s="102"/>
      <c r="O18" s="102"/>
      <c r="P18">
        <f>ROUNDDOWN((-3*D1*D1+74240*D1)/77500,0)</f>
        <v>0</v>
      </c>
      <c r="R18">
        <f t="shared" si="0"/>
        <v>0</v>
      </c>
    </row>
    <row r="19" spans="1:18" x14ac:dyDescent="0.4">
      <c r="A19" s="101" t="s">
        <v>531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541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134</v>
      </c>
      <c r="B20" s="101"/>
      <c r="C20" s="102" t="s">
        <v>212</v>
      </c>
      <c r="D20" s="102"/>
      <c r="E20" s="102"/>
      <c r="F20" s="102"/>
      <c r="G20">
        <f>7830</f>
        <v>7830</v>
      </c>
      <c r="J20" s="101" t="s">
        <v>542</v>
      </c>
      <c r="K20" s="101"/>
      <c r="L20" s="102" t="s">
        <v>543</v>
      </c>
      <c r="M20" s="102"/>
      <c r="N20" s="102"/>
      <c r="O20" s="102"/>
      <c r="P20">
        <f>7780</f>
        <v>7780</v>
      </c>
      <c r="R20">
        <f t="shared" si="0"/>
        <v>50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463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432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532</v>
      </c>
      <c r="B24" s="107"/>
      <c r="C24" s="102" t="s">
        <v>535</v>
      </c>
      <c r="D24" s="102"/>
      <c r="E24" s="102"/>
      <c r="F24" s="102"/>
      <c r="G24">
        <f>ROUNDDOWN(0.8*$D$1-0.35*(($D$1-4100)/(10670-4100))*$D$1,0)</f>
        <v>0</v>
      </c>
      <c r="H24" s="91">
        <f>IF(G24&lt;G25,G24,G25)</f>
        <v>0</v>
      </c>
      <c r="J24" s="106" t="s">
        <v>443</v>
      </c>
      <c r="K24" s="107"/>
      <c r="L24" s="102" t="s">
        <v>546</v>
      </c>
      <c r="M24" s="102"/>
      <c r="N24" s="102"/>
      <c r="O24" s="102"/>
      <c r="P24">
        <f>ROUNDDOWN((-7*D1*D1+132880*D1)/130400,0)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536</v>
      </c>
      <c r="D25" s="104"/>
      <c r="E25" s="104"/>
      <c r="F25" s="105"/>
      <c r="G25">
        <f>ROUNDDOWN(0.05*D1+(10670*0.4),0)</f>
        <v>4268</v>
      </c>
      <c r="H25" s="91"/>
      <c r="J25" s="108"/>
      <c r="K25" s="109"/>
      <c r="L25" s="103" t="s">
        <v>545</v>
      </c>
      <c r="M25" s="104"/>
      <c r="N25" s="104"/>
      <c r="O25" s="105"/>
      <c r="P25">
        <f>ROUNDDOWN(0.05*D1+4240,0)</f>
        <v>4240</v>
      </c>
      <c r="Q25" s="91"/>
      <c r="R25" s="112"/>
    </row>
    <row r="26" spans="1:18" x14ac:dyDescent="0.4">
      <c r="A26" s="101" t="s">
        <v>533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314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534</v>
      </c>
      <c r="B27" s="101"/>
      <c r="C27" s="102" t="s">
        <v>537</v>
      </c>
      <c r="D27" s="102"/>
      <c r="E27" s="102"/>
      <c r="F27" s="102"/>
      <c r="G27">
        <f>6826</f>
        <v>6826</v>
      </c>
      <c r="J27" s="101" t="s">
        <v>315</v>
      </c>
      <c r="K27" s="101"/>
      <c r="L27" s="102" t="s">
        <v>544</v>
      </c>
      <c r="M27" s="102"/>
      <c r="N27" s="102"/>
      <c r="O27" s="102"/>
      <c r="P27">
        <f>6781</f>
        <v>6781</v>
      </c>
      <c r="R27">
        <f t="shared" si="0"/>
        <v>45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7"/>
  <sheetViews>
    <sheetView zoomScaleNormal="100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547</v>
      </c>
      <c r="C1" s="37" t="s">
        <v>7</v>
      </c>
      <c r="D1">
        <f>計算用!O3</f>
        <v>0</v>
      </c>
      <c r="E1" s="37"/>
    </row>
    <row r="2" spans="1:18" x14ac:dyDescent="0.4">
      <c r="C2" s="37"/>
      <c r="E2" s="37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36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548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10" t="s">
        <v>588</v>
      </c>
      <c r="K5" s="11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549</v>
      </c>
      <c r="B6" s="101"/>
      <c r="C6" s="102" t="s">
        <v>553</v>
      </c>
      <c r="D6" s="102"/>
      <c r="E6" s="102"/>
      <c r="F6" s="102"/>
      <c r="G6">
        <f>ROUNDDOWN(0.8*$D$1-0.3*(($D$1-4160)/(12080-4160))*$D$1,0)</f>
        <v>0</v>
      </c>
      <c r="J6" s="110" t="s">
        <v>589</v>
      </c>
      <c r="K6" s="111"/>
      <c r="L6" s="102" t="s">
        <v>604</v>
      </c>
      <c r="M6" s="102"/>
      <c r="N6" s="102"/>
      <c r="O6" s="102"/>
      <c r="P6">
        <f>ROUNDDOWN(0.8*$D$1-0.3*(($D$1-4160)/(12060-4160))*$D$1,0)</f>
        <v>0</v>
      </c>
      <c r="R6">
        <f t="shared" ref="R6:R27" si="0">G6-P6</f>
        <v>0</v>
      </c>
    </row>
    <row r="7" spans="1:18" x14ac:dyDescent="0.4">
      <c r="A7" s="101" t="s">
        <v>550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590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551</v>
      </c>
      <c r="B8" s="101"/>
      <c r="C8" s="102" t="s">
        <v>552</v>
      </c>
      <c r="D8" s="102"/>
      <c r="E8" s="102"/>
      <c r="F8" s="102"/>
      <c r="G8">
        <f>6505</f>
        <v>6505</v>
      </c>
      <c r="J8" s="101" t="s">
        <v>591</v>
      </c>
      <c r="K8" s="101"/>
      <c r="L8" s="102" t="s">
        <v>606</v>
      </c>
      <c r="M8" s="102"/>
      <c r="N8" s="102"/>
      <c r="O8" s="102"/>
      <c r="P8">
        <f>6495</f>
        <v>6495</v>
      </c>
      <c r="R8">
        <f t="shared" si="0"/>
        <v>10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548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10" t="s">
        <v>588</v>
      </c>
      <c r="K11" s="11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549</v>
      </c>
      <c r="B12" s="101"/>
      <c r="C12" s="102" t="s">
        <v>553</v>
      </c>
      <c r="D12" s="102"/>
      <c r="E12" s="102"/>
      <c r="F12" s="102"/>
      <c r="G12">
        <f>ROUNDDOWN(0.8*$D$1-0.3*(($D$1-4160)/(12080-4160))*$D$1,0)</f>
        <v>0</v>
      </c>
      <c r="J12" s="110" t="s">
        <v>589</v>
      </c>
      <c r="K12" s="111"/>
      <c r="L12" s="102" t="s">
        <v>603</v>
      </c>
      <c r="M12" s="102"/>
      <c r="N12" s="102"/>
      <c r="O12" s="102"/>
      <c r="P12">
        <f>ROUNDDOWN(0.8*$D$1-0.3*(($D$1-4160)/(12060-4160))*$D$1,0)</f>
        <v>0</v>
      </c>
      <c r="R12">
        <f t="shared" si="0"/>
        <v>0</v>
      </c>
    </row>
    <row r="13" spans="1:18" x14ac:dyDescent="0.4">
      <c r="A13" s="101" t="s">
        <v>554</v>
      </c>
      <c r="B13" s="101"/>
      <c r="C13" s="102" t="s">
        <v>8</v>
      </c>
      <c r="D13" s="102"/>
      <c r="E13" s="102"/>
      <c r="F13" s="102"/>
      <c r="G13">
        <f>ROUNDDOWN($D$1*0.5,0)</f>
        <v>0</v>
      </c>
      <c r="J13" s="101" t="s">
        <v>592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555</v>
      </c>
      <c r="B14" s="101"/>
      <c r="C14" s="102" t="s">
        <v>556</v>
      </c>
      <c r="D14" s="102"/>
      <c r="E14" s="102"/>
      <c r="F14" s="102"/>
      <c r="G14">
        <f>7225</f>
        <v>7225</v>
      </c>
      <c r="J14" s="101" t="s">
        <v>593</v>
      </c>
      <c r="K14" s="101"/>
      <c r="L14" s="102" t="s">
        <v>605</v>
      </c>
      <c r="M14" s="102"/>
      <c r="N14" s="102"/>
      <c r="O14" s="102"/>
      <c r="P14">
        <f>7215</f>
        <v>7215</v>
      </c>
      <c r="R14">
        <f t="shared" si="0"/>
        <v>10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548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10" t="s">
        <v>588</v>
      </c>
      <c r="K17" s="11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549</v>
      </c>
      <c r="B18" s="101"/>
      <c r="C18" s="102" t="s">
        <v>553</v>
      </c>
      <c r="D18" s="102"/>
      <c r="E18" s="102"/>
      <c r="F18" s="102"/>
      <c r="G18">
        <f>ROUNDDOWN(0.8*$D$1-0.3*(($D$1-4160)/(12080-4160))*$D$1,0)</f>
        <v>0</v>
      </c>
      <c r="J18" s="110" t="s">
        <v>589</v>
      </c>
      <c r="K18" s="111"/>
      <c r="L18" s="102" t="s">
        <v>602</v>
      </c>
      <c r="M18" s="102"/>
      <c r="N18" s="102"/>
      <c r="O18" s="102"/>
      <c r="P18">
        <f>ROUNDDOWN(0.8*$D$1-0.3*(($D$1-4160)/(12060-4160))*$D$1,0)</f>
        <v>0</v>
      </c>
      <c r="R18">
        <f t="shared" si="0"/>
        <v>0</v>
      </c>
    </row>
    <row r="19" spans="1:18" x14ac:dyDescent="0.4">
      <c r="A19" s="101" t="s">
        <v>557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594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558</v>
      </c>
      <c r="B20" s="101"/>
      <c r="C20" s="102" t="s">
        <v>559</v>
      </c>
      <c r="D20" s="102"/>
      <c r="E20" s="102"/>
      <c r="F20" s="102"/>
      <c r="G20">
        <f>7950</f>
        <v>7950</v>
      </c>
      <c r="J20" s="101" t="s">
        <v>595</v>
      </c>
      <c r="K20" s="101"/>
      <c r="L20" s="102" t="s">
        <v>601</v>
      </c>
      <c r="M20" s="102"/>
      <c r="N20" s="102"/>
      <c r="O20" s="102"/>
      <c r="P20">
        <f>7935</f>
        <v>7935</v>
      </c>
      <c r="R20">
        <f t="shared" si="0"/>
        <v>15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548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588</v>
      </c>
      <c r="K23" s="11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560</v>
      </c>
      <c r="B24" s="107"/>
      <c r="C24" s="102" t="s">
        <v>564</v>
      </c>
      <c r="D24" s="102"/>
      <c r="E24" s="102"/>
      <c r="F24" s="102"/>
      <c r="G24">
        <f>ROUNDDOWN(0.8*$D$1-0.35*(($D$1-4160)/(10830-4160))*$D$1,0)</f>
        <v>0</v>
      </c>
      <c r="H24" s="91">
        <f>IF(G24&lt;G25,G24,G25)</f>
        <v>0</v>
      </c>
      <c r="J24" s="106" t="s">
        <v>596</v>
      </c>
      <c r="K24" s="107"/>
      <c r="L24" s="102" t="s">
        <v>600</v>
      </c>
      <c r="M24" s="102"/>
      <c r="N24" s="102"/>
      <c r="O24" s="102"/>
      <c r="P24">
        <f>ROUNDDOWN(0.8*$D$1-0.35*(($D$1-4160)/(10810-4160))*$D$1,0)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565</v>
      </c>
      <c r="D25" s="104"/>
      <c r="E25" s="104"/>
      <c r="F25" s="105"/>
      <c r="G25">
        <f>ROUNDDOWN(0.05*D1+(10830*0.4),0)</f>
        <v>4332</v>
      </c>
      <c r="H25" s="91"/>
      <c r="J25" s="108"/>
      <c r="K25" s="109"/>
      <c r="L25" s="103" t="s">
        <v>599</v>
      </c>
      <c r="M25" s="104"/>
      <c r="N25" s="104"/>
      <c r="O25" s="105"/>
      <c r="P25">
        <f>ROUNDDOWN(0.05*D1+4324,0)</f>
        <v>4324</v>
      </c>
      <c r="Q25" s="91"/>
      <c r="R25" s="112"/>
    </row>
    <row r="26" spans="1:18" x14ac:dyDescent="0.4">
      <c r="A26" s="101" t="s">
        <v>561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597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562</v>
      </c>
      <c r="B27" s="101"/>
      <c r="C27" s="102" t="s">
        <v>563</v>
      </c>
      <c r="D27" s="102"/>
      <c r="E27" s="102"/>
      <c r="F27" s="102"/>
      <c r="G27">
        <f>6930</f>
        <v>6930</v>
      </c>
      <c r="J27" s="101" t="s">
        <v>423</v>
      </c>
      <c r="K27" s="101"/>
      <c r="L27" s="102" t="s">
        <v>598</v>
      </c>
      <c r="M27" s="102"/>
      <c r="N27" s="102"/>
      <c r="O27" s="102"/>
      <c r="P27">
        <f>6916</f>
        <v>6916</v>
      </c>
      <c r="R27">
        <f t="shared" si="0"/>
        <v>14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="70" zoomScaleNormal="70" workbookViewId="0">
      <selection activeCell="J2" sqref="J2:K2"/>
    </sheetView>
  </sheetViews>
  <sheetFormatPr defaultRowHeight="18.75" x14ac:dyDescent="0.4"/>
  <cols>
    <col min="2" max="2" width="9.875" bestFit="1" customWidth="1"/>
    <col min="4" max="4" width="15.875" bestFit="1" customWidth="1"/>
    <col min="6" max="6" width="15.875" bestFit="1" customWidth="1"/>
    <col min="7" max="7" width="9" customWidth="1"/>
    <col min="8" max="8" width="15.875" bestFit="1" customWidth="1"/>
    <col min="10" max="10" width="15.875" bestFit="1" customWidth="1"/>
    <col min="12" max="12" width="15.875" bestFit="1" customWidth="1"/>
    <col min="13" max="13" width="9" customWidth="1"/>
    <col min="14" max="14" width="15.875" bestFit="1" customWidth="1"/>
    <col min="15" max="15" width="9" customWidth="1"/>
    <col min="16" max="16" width="15.875" bestFit="1" customWidth="1"/>
    <col min="17" max="17" width="9" customWidth="1"/>
    <col min="18" max="18" width="15.875" bestFit="1" customWidth="1"/>
    <col min="19" max="19" width="9" customWidth="1"/>
    <col min="20" max="20" width="15.875" bestFit="1" customWidth="1"/>
    <col min="21" max="21" width="9" customWidth="1"/>
    <col min="22" max="22" width="15.875" bestFit="1" customWidth="1"/>
    <col min="23" max="23" width="9" customWidth="1"/>
    <col min="24" max="24" width="15.875" bestFit="1" customWidth="1"/>
    <col min="26" max="26" width="15.875" bestFit="1" customWidth="1"/>
    <col min="28" max="28" width="15.875" bestFit="1" customWidth="1"/>
    <col min="30" max="30" width="15.875" bestFit="1" customWidth="1"/>
    <col min="32" max="32" width="15.875" bestFit="1" customWidth="1"/>
  </cols>
  <sheetData>
    <row r="1" spans="1:16" x14ac:dyDescent="0.4">
      <c r="B1" t="s">
        <v>45</v>
      </c>
      <c r="D1" s="20" t="s">
        <v>50</v>
      </c>
      <c r="E1" s="20" t="s">
        <v>66</v>
      </c>
      <c r="F1" s="20" t="s">
        <v>79</v>
      </c>
      <c r="L1" s="91" t="s">
        <v>118</v>
      </c>
      <c r="M1" s="91"/>
    </row>
    <row r="2" spans="1:16" ht="18.75" customHeight="1" x14ac:dyDescent="0.4">
      <c r="A2" s="99" t="s">
        <v>612</v>
      </c>
      <c r="B2" s="2" t="s">
        <v>46</v>
      </c>
      <c r="C2" s="2"/>
      <c r="D2" s="21" t="s">
        <v>51</v>
      </c>
      <c r="E2" s="21" t="s">
        <v>67</v>
      </c>
      <c r="F2" s="21" t="s">
        <v>80</v>
      </c>
      <c r="H2" s="90" t="s">
        <v>113</v>
      </c>
      <c r="I2" s="90"/>
      <c r="J2" s="93" t="str">
        <f>入力画面!B3&amp;入力画面!C3&amp;入力画面!D3</f>
        <v/>
      </c>
      <c r="K2" s="93"/>
      <c r="L2" s="51" t="e">
        <f>DATEVALUE(J2)</f>
        <v>#VALUE!</v>
      </c>
      <c r="M2" s="50">
        <f>DATEVALUE(L4)</f>
        <v>44043</v>
      </c>
      <c r="N2" t="s">
        <v>116</v>
      </c>
      <c r="O2" s="97">
        <f>入力画面!B9*6</f>
        <v>0</v>
      </c>
      <c r="P2" s="97"/>
    </row>
    <row r="3" spans="1:16" x14ac:dyDescent="0.4">
      <c r="A3" s="99"/>
      <c r="B3" s="2" t="s">
        <v>47</v>
      </c>
      <c r="C3" s="2"/>
      <c r="D3" s="21" t="s">
        <v>52</v>
      </c>
      <c r="E3" s="21" t="s">
        <v>68</v>
      </c>
      <c r="F3" s="21" t="s">
        <v>81</v>
      </c>
      <c r="H3" s="90" t="s">
        <v>114</v>
      </c>
      <c r="I3" s="90"/>
      <c r="J3" s="92" t="str">
        <f>入力画面!B5&amp;入力画面!C5&amp;入力画面!D5</f>
        <v/>
      </c>
      <c r="K3" s="92"/>
      <c r="L3" s="49" t="e">
        <f>DATEVALUE(J3)</f>
        <v>#VALUE!</v>
      </c>
      <c r="M3" s="44">
        <f>DATEVALUE(L5)</f>
        <v>44044</v>
      </c>
      <c r="N3" t="s">
        <v>117</v>
      </c>
      <c r="O3">
        <f>ROUNDDOWN(O2/180,0)</f>
        <v>0</v>
      </c>
    </row>
    <row r="4" spans="1:16" x14ac:dyDescent="0.4">
      <c r="A4" s="99"/>
      <c r="B4" s="2" t="s">
        <v>48</v>
      </c>
      <c r="C4" s="2"/>
      <c r="D4" s="21" t="s">
        <v>53</v>
      </c>
      <c r="E4" s="21" t="s">
        <v>69</v>
      </c>
      <c r="F4" s="21" t="s">
        <v>82</v>
      </c>
      <c r="H4" s="90" t="s">
        <v>586</v>
      </c>
      <c r="I4" s="90"/>
      <c r="J4" s="90" t="e">
        <f>IF(L4-J2+1&gt;0,L4-J2+1,"エラー")</f>
        <v>#VALUE!</v>
      </c>
      <c r="K4" s="90"/>
      <c r="L4" s="94" t="str">
        <f>入力画面!B5&amp;"7月31日"</f>
        <v>7月31日</v>
      </c>
      <c r="M4" s="94"/>
    </row>
    <row r="5" spans="1:16" x14ac:dyDescent="0.4">
      <c r="A5" s="99"/>
      <c r="B5" s="2" t="s">
        <v>49</v>
      </c>
      <c r="C5" s="2"/>
      <c r="D5" s="21" t="s">
        <v>54</v>
      </c>
      <c r="E5" s="21" t="s">
        <v>70</v>
      </c>
      <c r="F5" s="21" t="s">
        <v>83</v>
      </c>
      <c r="H5" s="90" t="s">
        <v>585</v>
      </c>
      <c r="I5" s="90"/>
      <c r="J5" s="90" t="e">
        <f>IF(J3-L5+1&gt;0,J3-L5+1,"エラー")</f>
        <v>#VALUE!</v>
      </c>
      <c r="K5" s="90"/>
      <c r="L5" s="98" t="str">
        <f>入力画面!B5&amp;"8月1日"</f>
        <v>8月1日</v>
      </c>
      <c r="M5" s="98"/>
    </row>
    <row r="6" spans="1:16" x14ac:dyDescent="0.4">
      <c r="A6" s="99"/>
      <c r="D6" s="21" t="s">
        <v>55</v>
      </c>
      <c r="E6" s="21" t="s">
        <v>71</v>
      </c>
      <c r="F6" s="21" t="s">
        <v>84</v>
      </c>
      <c r="H6" s="90" t="s">
        <v>115</v>
      </c>
      <c r="I6" s="90"/>
      <c r="J6" s="90" t="e">
        <f>IF(J3-J2+1&gt;0,J3-J2+1,"エラー")</f>
        <v>#VALUE!</v>
      </c>
      <c r="K6" s="90"/>
    </row>
    <row r="7" spans="1:16" x14ac:dyDescent="0.4">
      <c r="A7" s="99"/>
      <c r="D7" s="21" t="s">
        <v>56</v>
      </c>
      <c r="E7" s="21" t="s">
        <v>72</v>
      </c>
      <c r="F7" s="21" t="s">
        <v>85</v>
      </c>
      <c r="H7" s="90" t="s">
        <v>613</v>
      </c>
      <c r="I7" s="90"/>
      <c r="J7" s="90" t="str">
        <f>IF(入力画面!B7="～29歳または65歳～","29歳",IF(入力画面!B7="30歳～44歳","35歳",IF(入力画面!B7="45歳～59歳","55歳","60歳")))</f>
        <v>60歳</v>
      </c>
      <c r="K7" s="90"/>
    </row>
    <row r="8" spans="1:16" x14ac:dyDescent="0.4">
      <c r="D8" s="21" t="s">
        <v>57</v>
      </c>
      <c r="E8" s="21" t="s">
        <v>73</v>
      </c>
      <c r="F8" s="21" t="s">
        <v>86</v>
      </c>
    </row>
    <row r="9" spans="1:16" x14ac:dyDescent="0.4">
      <c r="D9" s="21" t="s">
        <v>58</v>
      </c>
      <c r="E9" s="21" t="s">
        <v>74</v>
      </c>
      <c r="F9" s="21" t="s">
        <v>87</v>
      </c>
      <c r="G9" s="96" t="s">
        <v>614</v>
      </c>
      <c r="H9" s="95" t="s">
        <v>584</v>
      </c>
      <c r="I9" s="95"/>
      <c r="J9" s="95" t="e">
        <f>IF(AND(38200&lt;=L2,L2&lt;=38564),INDEX(D36:D51,C34,1),IF(AND(38565&lt;=L2,L2&lt;=38929),INDEX(F36:F51,E34,1),IF(AND(38930&lt;=L2,L2&lt;=39294),INDEX(H36:H51,G34,1),IF(AND(39295&lt;=L2,L2&lt;=39660),INDEX(J36:J51,I34,1),IF(AND(39661&lt;=L2,L2&lt;=40025),INDEX(L36:L51,K34,1),IF(AND(40026&lt;=L2,L2&lt;=40390),INDEX(N36:N51,M34,1),IF(AND(40391&lt;=L2,L2&lt;=40755),INDEX(P36:P51,O34,1),IF(AND(40756&lt;=L2,L2&lt;=41121),INDEX(R36:R51,Q34,1),IF(AND(41122&lt;=L2,L2&lt;=41486),INDEX(T36:T51,S34,1),IF(AND(41487&lt;=L2,L2&lt;=41851),INDEX(V36:V51,U34,1),IF(AND(41852&lt;=L2,L2&lt;=42216),INDEX(X36:X51,W34,1),IF(AND(42217&lt;=L2,L2&lt;=42582),INDEX(Z36:Z51,Y34,1),IF(AND(42583&lt;=L2,L2&lt;=42947),INDEX(AB36:AB51,AA34,1),IF(AND(42948&lt;=L2,L2&lt;=43312),INDEX(AD36:AD51,AC34,1),""))))))))))))))</f>
        <v>#VALUE!</v>
      </c>
      <c r="K9" s="95"/>
    </row>
    <row r="10" spans="1:16" x14ac:dyDescent="0.4">
      <c r="D10" s="21" t="s">
        <v>59</v>
      </c>
      <c r="E10" s="21" t="s">
        <v>75</v>
      </c>
      <c r="F10" s="21" t="s">
        <v>88</v>
      </c>
      <c r="G10" s="96"/>
      <c r="H10" s="95" t="s">
        <v>583</v>
      </c>
      <c r="I10" s="95"/>
      <c r="J10" s="95" t="e">
        <f>IF(AND(38200&lt;=L3,L3&lt;38565),INDEX(D36:D51,C34,1),IF(AND(38565&lt;=L3,L3&lt;38930),INDEX(F36:F51,E34,1),IF(AND(38930&lt;=L3,L3&lt;39295),INDEX(H36:H51,G34,1),IF(AND(39295&lt;=L3,L3&lt;39661),INDEX(J36:J51,I34,1),IF(AND(39661&lt;=L3,L3&lt;40026),INDEX(L36:L51,K34,1),IF(AND(40026&lt;=L3,L3&lt;40391),INDEX(N36:N51,M34,1),IF(AND(40391&lt;=L3,L3&lt;40756),INDEX(P36:P51,O34,1),IF(AND(40756&lt;=L3,L3&lt;41122),INDEX(R36:R51,Q34,1),IF(AND(41122&lt;=L3,L3&lt;41487),INDEX(T36:T51,S34,1),IF(AND(41487&lt;=L3,L3&lt;41852),INDEX(V36:V51,U34,1),IF(AND(41852&lt;=L3,L3&lt;42217),INDEX(X36:X51,W34,1),IF(AND(42217&lt;=L3,L3&lt;42583),INDEX(Z36:Z51,Y34,1),IF(AND(42583&lt;=L3,L3&lt;42948),INDEX(AB36:AB51,AA34,1),IF(AND(42948&lt;=L3,L3&lt;43313),INDEX(AD36:AD51,AC34,1),IF(AND(43313&lt;=L3,L3&lt;45000),INDEX(AF36:AF51,AE34,1),"")))))))))))))))</f>
        <v>#VALUE!</v>
      </c>
      <c r="K10" s="95"/>
    </row>
    <row r="11" spans="1:16" x14ac:dyDescent="0.4">
      <c r="D11" s="21" t="s">
        <v>60</v>
      </c>
      <c r="E11" s="21" t="s">
        <v>76</v>
      </c>
      <c r="F11" s="21" t="s">
        <v>89</v>
      </c>
      <c r="G11" s="96"/>
      <c r="H11" s="95" t="s">
        <v>582</v>
      </c>
      <c r="I11" s="95"/>
      <c r="J11" s="95" t="e">
        <f>IF(L2&lt;F35,INDEX(D36:D51,C34,1),IF(L2&lt;H35,INDEX(F36:F51,E34,1),IF(L2&lt;J35,INDEX(H36:H51,G34,1),IF(L2&lt;L35,INDEX(J36:J51,I34,1),IF(L2&lt;N35,INDEX(L36:L51,K34,1),IF(L2&lt;P35,INDEX(N36:N51,M34,1),IF(L2&lt;R35,INDEX(P36:P51,O34,1),IF(L2&lt;T35,INDEX(R36:R51,Q34,1),IF(L2&lt;V35,INDEX(T36:T51,S34,1),IF(L2&lt;X35,INDEX(V36:V51,U34,1),IF(L2&lt;Z35,INDEX(X36:X51,W34,1),IF(L2&lt;AB35,INDEX(Z36:Z51,Y34,1),IF(L2&lt;AD35,INDEX(AB36:AB51,AA34,1),IF(L2&lt;AF35,INDEX(AD36:AD51,AC34,1),IF(L2&gt;=AF35,INDEX(AF36:AF51,AE34,1),"")))))))))))))))</f>
        <v>#VALUE!</v>
      </c>
      <c r="K11" s="95"/>
    </row>
    <row r="12" spans="1:16" x14ac:dyDescent="0.4">
      <c r="D12" s="21" t="s">
        <v>61</v>
      </c>
      <c r="E12" s="21" t="s">
        <v>77</v>
      </c>
      <c r="F12" s="21" t="s">
        <v>90</v>
      </c>
      <c r="G12" s="96" t="s">
        <v>617</v>
      </c>
      <c r="H12" s="95" t="s">
        <v>584</v>
      </c>
      <c r="I12" s="95"/>
      <c r="J12" s="95" t="e">
        <f>IF(AND(38200&lt;=L2,L2&lt;=38564),INDEX(D56:D71,C54,1),IF(AND(38565&lt;=L2,L2&lt;=38929),INDEX(F56:F71,E54,1),IF(AND(38930&lt;=L2,L2&lt;=39294),INDEX(H56:H71,G54,1),IF(AND(39295&lt;=L2,L2&lt;=39660),INDEX(J56:J71,I54,1),IF(AND(39661&lt;=L2,L2&lt;=40025),INDEX(L56:L71,K54,1),IF(AND(40026&lt;=L2,L2&lt;=40390),INDEX(N56:N71,M54,1),IF(AND(40391&lt;=L2,L2&lt;=40755),INDEX(P56:P71,O54,1),IF(AND(40756&lt;=L2,L2&lt;=41121),INDEX(R56:R71,Q54,1),IF(AND(41122&lt;=L2,L2&lt;=41486),INDEX(T56:T71,S54,1),IF(AND(41487&lt;=L2,L2&lt;=41851),INDEX(V56:V71,U54,1),IF(AND(41852&lt;=L2,L2&lt;=42216),INDEX(X56:X71,W54,1),IF(AND(42217&lt;=L2,L2&lt;=42582),INDEX(Z56:Z71,Y54,1),IF(AND(42583&lt;=L2,L2&lt;=42947),INDEX(AB56:AB71,AA54,1),IF(AND(42948&lt;=L2,L2&lt;=43312),INDEX(AD56:AD71,AC54,1),""))))))))))))))</f>
        <v>#VALUE!</v>
      </c>
      <c r="K12" s="95"/>
      <c r="L12" s="48"/>
    </row>
    <row r="13" spans="1:16" x14ac:dyDescent="0.4">
      <c r="D13" s="21" t="s">
        <v>62</v>
      </c>
      <c r="E13" s="22" t="s">
        <v>78</v>
      </c>
      <c r="F13" s="21" t="s">
        <v>91</v>
      </c>
      <c r="G13" s="96"/>
      <c r="H13" s="95" t="s">
        <v>583</v>
      </c>
      <c r="I13" s="95"/>
      <c r="J13" s="95" t="e">
        <f>IF(AND(38200&lt;=L3,L3&lt;38565),INDEX(D56:D71,C54,1),IF(AND(38565&lt;=L3,L3&lt;38930),INDEX(F56:F71,E54,1),IF(AND(38930&lt;=L3,L3&lt;39295),INDEX(H56:H71,G54,1),IF(AND(39295&lt;=L3,L3&lt;39661),INDEX(J56:J71,I54,1),IF(AND(39661&lt;=L3,L3&lt;40026),INDEX(L56:L71,K54,1),IF(AND(40026&lt;=L3,L3&lt;40391),INDEX(N56:N71,M54,1),IF(AND(40391&lt;=L3,L3&lt;40756),INDEX(P56:P71,O54,1),IF(AND(40756&lt;=L3,L3&lt;41122),INDEX(R56:R71,Q54,1),IF(AND(41122&lt;=L3,L3&lt;41487),INDEX(T56:T71,S54,1),IF(AND(41487&lt;=L3,L3&lt;41852),INDEX(V56:V71,U54,1),IF(AND(41852&lt;=L3,L3&lt;42217),INDEX(X56:X71,W54,1),IF(AND(42217&lt;=L3,L3&lt;42583),INDEX(Z56:Z71,Y54,1),IF(AND(42583&lt;=L3,L3&lt;42948),INDEX(AB56:AB71,AA54,1),IF(AND(42948&lt;=L3,L3&lt;43313),INDEX(AD56:AD71,AC54,1),IF(AND(43313&lt;=L3,L3&lt;45000),INDEX(AF56:AF71,AE54,1),"")))))))))))))))</f>
        <v>#VALUE!</v>
      </c>
      <c r="K13" s="95"/>
    </row>
    <row r="14" spans="1:16" x14ac:dyDescent="0.4">
      <c r="D14" s="21" t="s">
        <v>63</v>
      </c>
      <c r="F14" s="21" t="s">
        <v>92</v>
      </c>
      <c r="G14" s="96"/>
      <c r="H14" s="95" t="s">
        <v>582</v>
      </c>
      <c r="I14" s="95"/>
      <c r="J14" s="95" t="e">
        <f>IF(L2&lt;F55,INDEX(D56:D71,C54,1),IF(L2&lt;H55,INDEX(F56:F71,E54,1),IF(L2&lt;J55,INDEX(H56:H71,G54,1),IF(L2&lt;L55,INDEX(J56:J71,I54,1),IF(L2&lt;N55,INDEX(L56:L71,K54,1),IF(L2&lt;P55,INDEX(N56:N71,M54,1),IF(L2&lt;R55,INDEX(P56:P71,O54,1),IF(L2&lt;T55,INDEX(R56:R71,Q54,1),IF(L2&lt;V55,INDEX(T56:T71,S54,1),IF(L2&lt;X55,INDEX(V56:V71,U54,1),IF(L2&lt;Z55,INDEX(X56:X71,W54,1),IF(L2&lt;AB55,INDEX(Z56:Z71,Y54,1),IF(L2&lt;AD55,INDEX(AB56:AB71,AA54,1),IF(L2&lt;AF55,INDEX(AD56:AD71,AC54,1),IF(L2&gt;=AF55,INDEX(AF56:AF71,AE54,1),"")))))))))))))))</f>
        <v>#VALUE!</v>
      </c>
      <c r="K14" s="95"/>
    </row>
    <row r="15" spans="1:16" x14ac:dyDescent="0.4">
      <c r="D15" s="21" t="s">
        <v>64</v>
      </c>
      <c r="F15" s="21" t="s">
        <v>93</v>
      </c>
      <c r="G15" s="96" t="s">
        <v>618</v>
      </c>
      <c r="H15" s="95" t="s">
        <v>584</v>
      </c>
      <c r="I15" s="95"/>
      <c r="J15" s="100" t="e">
        <f>J9-J12</f>
        <v>#VALUE!</v>
      </c>
      <c r="K15" s="100"/>
    </row>
    <row r="16" spans="1:16" x14ac:dyDescent="0.4">
      <c r="D16" s="22" t="s">
        <v>65</v>
      </c>
      <c r="F16" s="21" t="s">
        <v>94</v>
      </c>
      <c r="G16" s="96"/>
      <c r="H16" s="95" t="s">
        <v>583</v>
      </c>
      <c r="I16" s="95"/>
      <c r="J16" s="100" t="e">
        <f>J10-J13</f>
        <v>#VALUE!</v>
      </c>
      <c r="K16" s="100"/>
    </row>
    <row r="17" spans="6:14" x14ac:dyDescent="0.4">
      <c r="F17" s="21" t="s">
        <v>95</v>
      </c>
      <c r="G17" s="96"/>
      <c r="H17" s="95" t="s">
        <v>582</v>
      </c>
      <c r="I17" s="95"/>
      <c r="J17" s="100" t="e">
        <f>J11-J14</f>
        <v>#VALUE!</v>
      </c>
      <c r="K17" s="100"/>
    </row>
    <row r="18" spans="6:14" x14ac:dyDescent="0.4">
      <c r="F18" s="21" t="s">
        <v>96</v>
      </c>
      <c r="H18" s="90" t="s">
        <v>119</v>
      </c>
      <c r="I18" s="90"/>
      <c r="J18" s="90" t="e">
        <f>IF(AND(L2&lt;M3,L3&lt;M3),計算用!J6*J17,J4*J15+J5*J16)</f>
        <v>#VALUE!</v>
      </c>
      <c r="K18" s="90"/>
      <c r="L18" s="90" t="e">
        <f>IF(AND(L2&gt;=M3,L3&gt;=M3),計算用!J6*J17,J4*J15+J5*J16)</f>
        <v>#VALUE!</v>
      </c>
      <c r="M18" s="90"/>
      <c r="N18" t="str">
        <f>IFERROR(IF(L2&gt;=M3,L18,J18),"")</f>
        <v/>
      </c>
    </row>
    <row r="19" spans="6:14" x14ac:dyDescent="0.4">
      <c r="F19" s="21" t="s">
        <v>97</v>
      </c>
    </row>
    <row r="20" spans="6:14" x14ac:dyDescent="0.4">
      <c r="F20" s="21" t="s">
        <v>98</v>
      </c>
    </row>
    <row r="21" spans="6:14" x14ac:dyDescent="0.4">
      <c r="F21" s="21" t="s">
        <v>99</v>
      </c>
    </row>
    <row r="22" spans="6:14" x14ac:dyDescent="0.4">
      <c r="F22" s="21" t="s">
        <v>100</v>
      </c>
    </row>
    <row r="23" spans="6:14" x14ac:dyDescent="0.4">
      <c r="F23" s="21" t="s">
        <v>101</v>
      </c>
    </row>
    <row r="24" spans="6:14" x14ac:dyDescent="0.4">
      <c r="F24" s="21" t="s">
        <v>102</v>
      </c>
    </row>
    <row r="25" spans="6:14" x14ac:dyDescent="0.4">
      <c r="F25" s="21" t="s">
        <v>103</v>
      </c>
    </row>
    <row r="26" spans="6:14" x14ac:dyDescent="0.4">
      <c r="F26" s="21" t="s">
        <v>104</v>
      </c>
    </row>
    <row r="27" spans="6:14" x14ac:dyDescent="0.4">
      <c r="F27" s="21" t="s">
        <v>105</v>
      </c>
    </row>
    <row r="28" spans="6:14" x14ac:dyDescent="0.4">
      <c r="F28" s="21" t="s">
        <v>106</v>
      </c>
    </row>
    <row r="29" spans="6:14" x14ac:dyDescent="0.4">
      <c r="F29" s="21" t="s">
        <v>107</v>
      </c>
    </row>
    <row r="30" spans="6:14" x14ac:dyDescent="0.4">
      <c r="F30" s="21" t="s">
        <v>108</v>
      </c>
    </row>
    <row r="31" spans="6:14" x14ac:dyDescent="0.4">
      <c r="F31" s="21" t="s">
        <v>109</v>
      </c>
    </row>
    <row r="32" spans="6:14" x14ac:dyDescent="0.4">
      <c r="F32" s="22" t="s">
        <v>110</v>
      </c>
    </row>
    <row r="33" spans="1:33" x14ac:dyDescent="0.4">
      <c r="F33" s="52"/>
    </row>
    <row r="34" spans="1:33" x14ac:dyDescent="0.4">
      <c r="C34">
        <f>MATCH("△",C36:C51,0)</f>
        <v>13</v>
      </c>
      <c r="E34">
        <f>MATCH("△",E36:E51,0)</f>
        <v>13</v>
      </c>
      <c r="G34">
        <f>MATCH("△",G36:G51,0)</f>
        <v>13</v>
      </c>
      <c r="I34">
        <f>MATCH("△",I36:I51,0)</f>
        <v>13</v>
      </c>
      <c r="K34">
        <f>MATCH("△",K36:K51,0)</f>
        <v>13</v>
      </c>
      <c r="M34">
        <f>MATCH("△",M36:M51,0)</f>
        <v>13</v>
      </c>
      <c r="O34">
        <f>MATCH("△",O36:O51,0)</f>
        <v>13</v>
      </c>
      <c r="Q34">
        <f>MATCH("△",Q36:Q51,0)</f>
        <v>13</v>
      </c>
      <c r="S34">
        <f>MATCH("△",S36:S51,0)</f>
        <v>13</v>
      </c>
      <c r="U34">
        <f>MATCH("△",U36:U51,0)</f>
        <v>13</v>
      </c>
      <c r="W34">
        <f>MATCH("△",W36:W51,0)</f>
        <v>13</v>
      </c>
      <c r="Y34">
        <f>MATCH("△",Y36:Y51,0)</f>
        <v>13</v>
      </c>
      <c r="AA34">
        <f>MATCH("△",AA36:AA51,0)</f>
        <v>13</v>
      </c>
      <c r="AC34">
        <f>MATCH("△",AC36:AC51,0)</f>
        <v>13</v>
      </c>
      <c r="AE34">
        <f>MATCH("△",AE36:AE51,0)</f>
        <v>13</v>
      </c>
    </row>
    <row r="35" spans="1:33" x14ac:dyDescent="0.4">
      <c r="C35" s="3"/>
      <c r="D35" s="47">
        <v>38200</v>
      </c>
      <c r="E35" s="3"/>
      <c r="F35" s="47">
        <v>38565</v>
      </c>
      <c r="G35" s="3"/>
      <c r="H35" s="47">
        <v>38930</v>
      </c>
      <c r="I35" s="3"/>
      <c r="J35" s="47">
        <v>39295</v>
      </c>
      <c r="K35" s="3"/>
      <c r="L35" s="47">
        <v>39661</v>
      </c>
      <c r="M35" s="3"/>
      <c r="N35" s="47">
        <v>40026</v>
      </c>
      <c r="O35" s="3"/>
      <c r="P35" s="47">
        <v>40391</v>
      </c>
      <c r="Q35" s="3"/>
      <c r="R35" s="47">
        <v>40756</v>
      </c>
      <c r="S35" s="3"/>
      <c r="T35" s="47">
        <v>41122</v>
      </c>
      <c r="U35" s="3"/>
      <c r="V35" s="47">
        <v>41487</v>
      </c>
      <c r="W35" s="3"/>
      <c r="X35" s="47">
        <v>41852</v>
      </c>
      <c r="Y35" s="3"/>
      <c r="Z35" s="47">
        <v>42217</v>
      </c>
      <c r="AA35" s="3"/>
      <c r="AB35" s="47">
        <v>42583</v>
      </c>
      <c r="AC35" s="3"/>
      <c r="AD35" s="47">
        <v>42948</v>
      </c>
      <c r="AE35" s="39"/>
      <c r="AF35" s="47">
        <v>43313</v>
      </c>
    </row>
    <row r="36" spans="1:33" x14ac:dyDescent="0.4">
      <c r="A36" s="46" t="str">
        <f>IF($J$7="29歳","○","")</f>
        <v/>
      </c>
      <c r="B36" s="45" t="s">
        <v>581</v>
      </c>
      <c r="C36" s="39" t="str">
        <f>IF(AND($O$3&lt;=4159,$A$36="○"),"△","")</f>
        <v/>
      </c>
      <c r="D36" s="45">
        <f>'H16.8.1～'!G5</f>
        <v>0</v>
      </c>
      <c r="E36" s="39" t="str">
        <f>IF(AND($O$3&lt;=4099,$A$36="○"),"△","")</f>
        <v/>
      </c>
      <c r="F36" s="45">
        <f>'H17.8.1～'!G5</f>
        <v>0</v>
      </c>
      <c r="G36" s="39" t="str">
        <f>IF(AND($O$3&lt;=4119,$A$36="○"),"△","")</f>
        <v/>
      </c>
      <c r="H36" s="45">
        <f>'H18.8.1～'!G5</f>
        <v>0</v>
      </c>
      <c r="I36" s="39" t="str">
        <f>IF(AND($O$3&lt;=4099,$A$36="○"),"△","")</f>
        <v/>
      </c>
      <c r="J36" s="45">
        <f>'H19.8.1～'!G5</f>
        <v>0</v>
      </c>
      <c r="K36" s="39" t="str">
        <f>IF(AND($O$3&lt;=4079,$A$36="○"),"△","")</f>
        <v/>
      </c>
      <c r="L36" s="45">
        <f>'H20.8.1～'!G5</f>
        <v>0</v>
      </c>
      <c r="M36" s="39" t="str">
        <f>IF(AND($O$3&lt;=4059,$A$36="○"),"△","")</f>
        <v/>
      </c>
      <c r="N36" s="45">
        <f>'H21.8.1～'!G5</f>
        <v>0</v>
      </c>
      <c r="O36" s="39" t="str">
        <f>IF(AND($O$3&lt;=3969,$A$36="○"),"△","")</f>
        <v/>
      </c>
      <c r="P36" s="45">
        <f>'H22.8.1～'!G5</f>
        <v>0</v>
      </c>
      <c r="Q36" s="39" t="str">
        <f>IF(AND($O$3&lt;=4649,$A$36="○"),"△","")</f>
        <v/>
      </c>
      <c r="R36" s="45">
        <f>'H23.8.1～'!G5</f>
        <v>0</v>
      </c>
      <c r="S36" s="39" t="str">
        <f>IF(AND($O$3&lt;=4639,$A$36="○"),"△","")</f>
        <v/>
      </c>
      <c r="T36" s="45">
        <f>'H24.8.1～'!G5</f>
        <v>0</v>
      </c>
      <c r="U36" s="39" t="str">
        <f>IF(AND($O$3&lt;=4609,$A$36="○"),"△","")</f>
        <v/>
      </c>
      <c r="V36" s="45">
        <f>'H25.8.1～'!G5</f>
        <v>0</v>
      </c>
      <c r="W36" s="39" t="str">
        <f>IF(AND($O$3&lt;=4609,$A$36="○"),"△","")</f>
        <v/>
      </c>
      <c r="X36" s="45">
        <f>'H26.8.1～ '!G5</f>
        <v>0</v>
      </c>
      <c r="Y36" s="39" t="str">
        <f>IF(AND($O$3&lt;=4619,$A$36="○"),"△","")</f>
        <v/>
      </c>
      <c r="Z36" s="45">
        <f>'H27.8.1～ '!G5</f>
        <v>0</v>
      </c>
      <c r="AA36" s="39" t="str">
        <f>IF(AND($O$3&lt;=4589,$A$36="○"),"△","")</f>
        <v/>
      </c>
      <c r="AB36" s="45">
        <f>'H28.8.1～'!G5</f>
        <v>0</v>
      </c>
      <c r="AC36" s="39" t="str">
        <f>IF(AND($O$3&lt;=4939,$A$36="○"),"△","")</f>
        <v/>
      </c>
      <c r="AD36" s="45">
        <f>'H29.8.1～'!G5</f>
        <v>0</v>
      </c>
      <c r="AE36" s="39" t="str">
        <f>IF(AND($O$3&lt;=4969,$A$36="○"),"△","")</f>
        <v/>
      </c>
      <c r="AF36" s="45">
        <f>'H30.8.1~'!G5</f>
        <v>0</v>
      </c>
      <c r="AG36" s="96" t="s">
        <v>41</v>
      </c>
    </row>
    <row r="37" spans="1:33" x14ac:dyDescent="0.4">
      <c r="A37" s="46" t="str">
        <f>IF($J$7="29歳","○","")</f>
        <v/>
      </c>
      <c r="B37" s="45" t="s">
        <v>580</v>
      </c>
      <c r="C37" s="39" t="str">
        <f>IF(AND(4160&lt;=$O$3,$O$3&lt;=12080,$A$37="○"),"△","")</f>
        <v/>
      </c>
      <c r="D37" s="45">
        <f>'H16.8.1～'!G6</f>
        <v>0</v>
      </c>
      <c r="E37" s="39" t="str">
        <f>IF(AND(4090&lt;=$O$3,$O$3&lt;=11900,$A$37="○"),"△","")</f>
        <v/>
      </c>
      <c r="F37" s="45">
        <f>'H17.8.1～'!G6</f>
        <v>0</v>
      </c>
      <c r="G37" s="39" t="str">
        <f>IF(AND(4120&lt;=$O$3,$O$3&lt;=11940,$A$37="○"),"△","")</f>
        <v/>
      </c>
      <c r="H37" s="45">
        <f>'H18.8.1～'!G6</f>
        <v>0</v>
      </c>
      <c r="I37" s="39" t="str">
        <f>IF(AND(4100&lt;=$O$3,$O$3&lt;=11890,$A$37="○"),"△","")</f>
        <v/>
      </c>
      <c r="J37" s="45">
        <f>'H19.8.1～'!G6</f>
        <v>0</v>
      </c>
      <c r="K37" s="39" t="str">
        <f>IF(AND(4080&lt;=$O$3,$O$3&lt;=11830,$A$37="○"),"△","")</f>
        <v/>
      </c>
      <c r="L37" s="45">
        <f>'H20.8.1～'!G6</f>
        <v>0</v>
      </c>
      <c r="M37" s="39" t="str">
        <f>IF(AND(4060&lt;=$O$3,$O$3&lt;=11760,$A$37="○"),"△","")</f>
        <v/>
      </c>
      <c r="N37" s="45">
        <f>'H21.8.1～'!G6</f>
        <v>0</v>
      </c>
      <c r="O37" s="39" t="str">
        <f>IF(AND(3970&lt;=$O$3,$O$3&lt;=11490,$A$37="○"),"△","")</f>
        <v/>
      </c>
      <c r="P37" s="45">
        <f>'H22.8.1～'!G6</f>
        <v>0</v>
      </c>
      <c r="Q37" s="39" t="str">
        <f>IF(AND(4650&lt;=$O$3,$O$3&lt;=11780,$A$37="○"),"△","")</f>
        <v/>
      </c>
      <c r="R37" s="45">
        <f>'H23.8.1～'!G6</f>
        <v>0</v>
      </c>
      <c r="S37" s="39" t="str">
        <f>IF(AND(4640&lt;=$O$3,$O$3&lt;=11750,$A$37="○"),"△","")</f>
        <v/>
      </c>
      <c r="T37" s="45">
        <f>'H24.8.1～'!G6</f>
        <v>0</v>
      </c>
      <c r="U37" s="39" t="str">
        <f>IF(AND(4610&lt;=$O$3,$O$3&lt;=11690,$A$37="○"),"△","")</f>
        <v/>
      </c>
      <c r="V37" s="45">
        <f>'H25.8.1～'!G6</f>
        <v>0</v>
      </c>
      <c r="W37" s="39" t="str">
        <f>IF(AND(4610&lt;=$O$3,$O$3&lt;=11690,$A$37="○"),"△","")</f>
        <v/>
      </c>
      <c r="X37" s="45">
        <f>'H26.8.1～ '!G6</f>
        <v>0</v>
      </c>
      <c r="Y37" s="39" t="str">
        <f>IF(AND(4620&lt;=$O$3,$O$3&lt;=11710,$A$37="○"),"△","")</f>
        <v/>
      </c>
      <c r="Z37" s="45">
        <f>'H27.8.1～ '!G6</f>
        <v>0</v>
      </c>
      <c r="AA37" s="39" t="str">
        <f>IF(AND(4590&lt;=$O$3,$O$3&lt;=11640,$A$37="○"),"△","")</f>
        <v/>
      </c>
      <c r="AB37" s="45">
        <f>'H28.8.1～'!G6</f>
        <v>0</v>
      </c>
      <c r="AC37" s="39" t="str">
        <f>IF(AND(4940&lt;=$O$3,$O$3&lt;=12150,$A$37="○"),"△","")</f>
        <v/>
      </c>
      <c r="AD37" s="45">
        <f>'H29.8.1～'!G6</f>
        <v>0</v>
      </c>
      <c r="AE37" s="39" t="str">
        <f>IF(AND(4970&lt;=$O$3,$O$3&lt;=12220,$A$37="○"),"△","")</f>
        <v/>
      </c>
      <c r="AF37" s="45">
        <f>'H30.8.1~'!G6</f>
        <v>0</v>
      </c>
      <c r="AG37" s="96"/>
    </row>
    <row r="38" spans="1:33" x14ac:dyDescent="0.4">
      <c r="A38" s="46" t="str">
        <f>IF($J$7="29歳","○","")</f>
        <v/>
      </c>
      <c r="B38" s="45" t="s">
        <v>579</v>
      </c>
      <c r="C38" s="39" t="str">
        <f>IF(AND(12081&lt;=$O$3,$O$3&lt;=13010,$A$38="○"),"△","")</f>
        <v/>
      </c>
      <c r="D38" s="45">
        <f>'H16.8.1～'!G7</f>
        <v>0</v>
      </c>
      <c r="E38" s="39" t="str">
        <f>IF(AND(11901&lt;=$O$3,$O$3&lt;=12820,$A$38="○"),"△","")</f>
        <v/>
      </c>
      <c r="F38" s="45">
        <f>'H17.8.1～'!G7</f>
        <v>0</v>
      </c>
      <c r="G38" s="39" t="str">
        <f>IF(AND(11941&lt;=$O$3,$O$3&lt;=12870,$A$38="○"),"△","")</f>
        <v/>
      </c>
      <c r="H38" s="45">
        <f>'H18.8.1～'!G7</f>
        <v>0</v>
      </c>
      <c r="I38" s="39" t="str">
        <f>IF(AND(11891&lt;=$O$3,$O$3&lt;=12810,$A$38="○"),"△","")</f>
        <v/>
      </c>
      <c r="J38" s="45">
        <f>'H19.8.1～'!G7</f>
        <v>0</v>
      </c>
      <c r="K38" s="39" t="str">
        <f>IF(AND(11831&lt;=$O$3,$O$3&lt;=12470,$A$38="○"),"△","")</f>
        <v/>
      </c>
      <c r="L38" s="45">
        <f>'H20.8.1～'!G7</f>
        <v>0</v>
      </c>
      <c r="M38" s="39" t="str">
        <f>IF(AND(11761&lt;=$O$3,$O$3&lt;=12660,$A$38="○"),"△","")</f>
        <v/>
      </c>
      <c r="N38" s="45">
        <f>'H21.8.1～'!G7</f>
        <v>0</v>
      </c>
      <c r="O38" s="39" t="str">
        <f>IF(AND(11491&lt;=$O$3,$O$3&lt;=12360,$A$38="○"),"△","")</f>
        <v/>
      </c>
      <c r="P38" s="45">
        <f>'H22.8.1～'!G7</f>
        <v>0</v>
      </c>
      <c r="Q38" s="39" t="str">
        <f>IF(AND(11781&lt;=$O$3,$O$3&lt;=12910,$A$38="○"),"△","")</f>
        <v/>
      </c>
      <c r="R38" s="45">
        <f>'H23.8.1～'!G7</f>
        <v>0</v>
      </c>
      <c r="S38" s="39" t="str">
        <f>IF(AND(11751&lt;=$O$3,$O$3&lt;=12880,$A$38="○"),"△","")</f>
        <v/>
      </c>
      <c r="T38" s="45">
        <f>'H24.8.1～'!G7</f>
        <v>0</v>
      </c>
      <c r="U38" s="39" t="str">
        <f>IF(AND(11691&lt;=$O$3,$O$3&lt;=12810,$A$38="○"),"△","")</f>
        <v/>
      </c>
      <c r="V38" s="45">
        <f>'H25.8.1～'!G7</f>
        <v>0</v>
      </c>
      <c r="W38" s="39" t="str">
        <f>IF(AND(11691&lt;=$O$3,$O$3&lt;=12810,$A$38="○"),"△","")</f>
        <v/>
      </c>
      <c r="X38" s="45">
        <f>'H26.8.1～ '!G7</f>
        <v>0</v>
      </c>
      <c r="Y38" s="39" t="str">
        <f>IF(AND(11711&lt;=$O$3,$O$3&lt;=12830,$A$38="○"),"△","")</f>
        <v/>
      </c>
      <c r="Z38" s="45">
        <f>'H27.8.1～ '!G7</f>
        <v>0</v>
      </c>
      <c r="AA38" s="39" t="str">
        <f>IF(AND(11641&lt;=$O$3,$O$3&lt;=12760,$A$38="○"),"△","")</f>
        <v/>
      </c>
      <c r="AB38" s="45">
        <f>'H28.8.1～'!G7</f>
        <v>0</v>
      </c>
      <c r="AC38" s="39" t="str">
        <f>IF(AND(12151&lt;=$O$3,$O$3&lt;=13430,$A$38="○"),"△","")</f>
        <v/>
      </c>
      <c r="AD38" s="45">
        <f>'H29.8.1～'!G7</f>
        <v>0</v>
      </c>
      <c r="AE38" s="39" t="str">
        <f>IF(AND(12221&lt;=$O$3,$O$3&lt;=13510,$A$38="○"),"△","")</f>
        <v/>
      </c>
      <c r="AF38" s="45">
        <f>'H30.8.1~'!G7</f>
        <v>0</v>
      </c>
      <c r="AG38" s="96"/>
    </row>
    <row r="39" spans="1:33" x14ac:dyDescent="0.4">
      <c r="A39" s="46" t="str">
        <f>IF($J$7="29歳","○","")</f>
        <v/>
      </c>
      <c r="B39" s="45" t="s">
        <v>578</v>
      </c>
      <c r="C39" s="39" t="str">
        <f>IF(AND($O$3&gt;=13011,$A$39="○"),"△","")</f>
        <v/>
      </c>
      <c r="D39" s="45">
        <f>'H16.8.1～'!G8</f>
        <v>6505</v>
      </c>
      <c r="E39" s="39" t="str">
        <f>IF(AND($O$3&gt;=12821,$A$39="○"),"△","")</f>
        <v/>
      </c>
      <c r="F39" s="45">
        <f>'H17.8.1～'!G8</f>
        <v>6410</v>
      </c>
      <c r="G39" s="39" t="str">
        <f>IF(AND($O$3&gt;=12871,$A$39="○"),"△","")</f>
        <v/>
      </c>
      <c r="H39" s="45">
        <f>'H18.8.1～'!G8</f>
        <v>6435</v>
      </c>
      <c r="I39" s="39" t="str">
        <f>IF(AND($O$3&gt;=12811,$A$39="○"),"△","")</f>
        <v/>
      </c>
      <c r="J39" s="45">
        <f>'H19.8.1～'!G8</f>
        <v>6405</v>
      </c>
      <c r="K39" s="39" t="str">
        <f>IF(AND($O$3&gt;=12471,$A$39="○"),"△","")</f>
        <v/>
      </c>
      <c r="L39" s="45">
        <f>'H20.8.1～'!G8</f>
        <v>6370</v>
      </c>
      <c r="M39" s="39" t="str">
        <f>IF(AND($O$3&gt;=12661,$A$39="○"),"△","")</f>
        <v/>
      </c>
      <c r="N39" s="45">
        <f>'H21.8.1～'!G8</f>
        <v>6330</v>
      </c>
      <c r="O39" s="39" t="str">
        <f>IF(AND($O$3&gt;=12361,$A$39="○"),"△","")</f>
        <v/>
      </c>
      <c r="P39" s="45">
        <f>'H22.8.1～'!G8</f>
        <v>6180</v>
      </c>
      <c r="Q39" s="39" t="str">
        <f>IF(AND($O$3&gt;=12911,$A$39="○"),"△","")</f>
        <v/>
      </c>
      <c r="R39" s="45">
        <f>'H23.8.1～'!G8</f>
        <v>6455</v>
      </c>
      <c r="S39" s="39" t="str">
        <f>IF(AND($O$3&gt;=12881,$A$39="○"),"△","")</f>
        <v/>
      </c>
      <c r="T39" s="45">
        <f>'H24.8.1～'!G8</f>
        <v>6440</v>
      </c>
      <c r="U39" s="39" t="str">
        <f>IF(AND($O$3&gt;=12811,$A$39="○"),"△","")</f>
        <v/>
      </c>
      <c r="V39" s="45">
        <f>'H25.8.1～'!G8</f>
        <v>6405</v>
      </c>
      <c r="W39" s="39" t="str">
        <f>IF(AND($O$3&gt;=12811,$A$39="○"),"△","")</f>
        <v/>
      </c>
      <c r="X39" s="45">
        <f>'H26.8.1～ '!G8</f>
        <v>6405</v>
      </c>
      <c r="Y39" s="39" t="str">
        <f>IF(AND($O$3&gt;=12831,$A$39="○"),"△","")</f>
        <v/>
      </c>
      <c r="Z39" s="45">
        <f>'H27.8.1～ '!G8</f>
        <v>6415</v>
      </c>
      <c r="AA39" s="39" t="str">
        <f>IF(AND($O$3&gt;=12761,$A$39="○"),"△","")</f>
        <v/>
      </c>
      <c r="AB39" s="45">
        <f>'H28.8.1～'!G8</f>
        <v>6380</v>
      </c>
      <c r="AC39" s="39" t="str">
        <f>IF(AND($O$3&gt;=13431,$A$39="○"),"△","")</f>
        <v/>
      </c>
      <c r="AD39" s="45">
        <f>'H29.8.1～'!G8</f>
        <v>6715</v>
      </c>
      <c r="AE39" s="39" t="str">
        <f>IF(AND($O$3&gt;=13511,$A$39="○"),"△","")</f>
        <v/>
      </c>
      <c r="AF39" s="45">
        <f>'H30.8.1~'!G8</f>
        <v>6755</v>
      </c>
      <c r="AG39" s="96"/>
    </row>
    <row r="40" spans="1:33" x14ac:dyDescent="0.4">
      <c r="A40" s="44" t="str">
        <f>IF($J$7="35歳","○","")</f>
        <v/>
      </c>
      <c r="B40" s="43" t="s">
        <v>577</v>
      </c>
      <c r="C40" s="39" t="str">
        <f>IF(AND($O$3&lt;=4159,$A$40="○"),"△","")</f>
        <v/>
      </c>
      <c r="D40" s="43">
        <f>'H16.8.1～'!G11</f>
        <v>0</v>
      </c>
      <c r="E40" s="39" t="str">
        <f>IF(AND($O$3&lt;=4099,$A$40="○"),"△","")</f>
        <v/>
      </c>
      <c r="F40" s="43">
        <f>'H17.8.1～'!G11</f>
        <v>0</v>
      </c>
      <c r="G40" s="39" t="str">
        <f>IF(AND($O$3&lt;=4119,$A$40="○"),"△","")</f>
        <v/>
      </c>
      <c r="H40" s="43">
        <f>'H18.8.1～'!G11</f>
        <v>0</v>
      </c>
      <c r="I40" s="39" t="str">
        <f>IF(AND($O$3&lt;=4099,$A$40="○"),"△","")</f>
        <v/>
      </c>
      <c r="J40" s="43">
        <f>'H19.8.1～'!G11</f>
        <v>0</v>
      </c>
      <c r="K40" s="39" t="str">
        <f>IF(AND($O$3&lt;=4079,$A$40="○"),"△","")</f>
        <v/>
      </c>
      <c r="L40" s="43">
        <f>'H20.8.1～'!G11</f>
        <v>0</v>
      </c>
      <c r="M40" s="39" t="str">
        <f>IF(AND($O$3&lt;=4059,$A$40="○"),"△","")</f>
        <v/>
      </c>
      <c r="N40" s="43">
        <f>'H21.8.1～'!G11</f>
        <v>0</v>
      </c>
      <c r="O40" s="39" t="str">
        <f>IF(AND($O$3&lt;=3969,$A$40="○"),"△","")</f>
        <v/>
      </c>
      <c r="P40" s="43">
        <f>'H22.8.1～'!G11</f>
        <v>0</v>
      </c>
      <c r="Q40" s="39" t="str">
        <f>IF(AND($O$3&lt;=4649,$A$40="○"),"△","")</f>
        <v/>
      </c>
      <c r="R40" s="43">
        <f>'H23.8.1～'!G11</f>
        <v>0</v>
      </c>
      <c r="S40" s="39" t="str">
        <f>IF(AND($O$3&lt;=4639,$A$40="○"),"△","")</f>
        <v/>
      </c>
      <c r="T40" s="43">
        <f>'H24.8.1～'!G11</f>
        <v>0</v>
      </c>
      <c r="U40" s="39" t="str">
        <f>IF(AND($O$3&lt;=4609,$A$40="○"),"△","")</f>
        <v/>
      </c>
      <c r="V40" s="43">
        <f>'H25.8.1～'!G11</f>
        <v>0</v>
      </c>
      <c r="W40" s="39" t="str">
        <f>IF(AND($O$3&lt;=4609,$A$40="○"),"△","")</f>
        <v/>
      </c>
      <c r="X40" s="43">
        <f>'H26.8.1～ '!G11</f>
        <v>0</v>
      </c>
      <c r="Y40" s="39" t="str">
        <f>IF(AND($O$3&lt;=4619,$A$40="○"),"△","")</f>
        <v/>
      </c>
      <c r="Z40" s="43">
        <f>'H27.8.1～ '!G11</f>
        <v>0</v>
      </c>
      <c r="AA40" s="39" t="str">
        <f>IF(AND($O$3&lt;=4589,$A$40="○"),"△","")</f>
        <v/>
      </c>
      <c r="AB40" s="43">
        <f>'H28.8.1～'!G11</f>
        <v>0</v>
      </c>
      <c r="AC40" s="39" t="str">
        <f>IF(AND($O$3&lt;=4939,$A$40="○"),"△","")</f>
        <v/>
      </c>
      <c r="AD40" s="43">
        <f>'H29.8.1～'!G11</f>
        <v>0</v>
      </c>
      <c r="AE40" s="39" t="str">
        <f>IF(AND($O$3&lt;=4969,$A$40="○"),"△","")</f>
        <v/>
      </c>
      <c r="AF40" s="43">
        <f>'H30.8.1~'!G11</f>
        <v>0</v>
      </c>
      <c r="AG40" s="96" t="s">
        <v>42</v>
      </c>
    </row>
    <row r="41" spans="1:33" x14ac:dyDescent="0.4">
      <c r="A41" s="44" t="str">
        <f>IF($J$7="35歳","○","")</f>
        <v/>
      </c>
      <c r="B41" s="43" t="s">
        <v>576</v>
      </c>
      <c r="C41" s="39" t="str">
        <f>IF(AND(4160&lt;=$O$3,$O$3&lt;=12080,$A$41="○"),"△","")</f>
        <v/>
      </c>
      <c r="D41" s="43">
        <f>'H16.8.1～'!G12</f>
        <v>0</v>
      </c>
      <c r="E41" s="39" t="str">
        <f>IF(AND(4090&lt;=$O$3,$O$3&lt;=11900,$A$41="○"),"△","")</f>
        <v/>
      </c>
      <c r="F41" s="43">
        <f>'H17.8.1～'!G12</f>
        <v>0</v>
      </c>
      <c r="G41" s="39" t="str">
        <f>IF(AND(4120&lt;=$O$3,$O$3&lt;=11940,$A$41="○"),"△","")</f>
        <v/>
      </c>
      <c r="H41" s="43">
        <f>'H18.8.1～'!G12</f>
        <v>0</v>
      </c>
      <c r="I41" s="39" t="str">
        <f>IF(AND(4100&lt;=$O$3,$O$3&lt;=11890,$A$41="○"),"△","")</f>
        <v/>
      </c>
      <c r="J41" s="43">
        <f>'H19.8.1～'!G12</f>
        <v>0</v>
      </c>
      <c r="K41" s="39" t="str">
        <f>IF(AND(4080&lt;=$O$3,$O$3&lt;=11830,$A$41="○"),"△","")</f>
        <v/>
      </c>
      <c r="L41" s="43">
        <f>'H20.8.1～'!G12</f>
        <v>0</v>
      </c>
      <c r="M41" s="39" t="str">
        <f>IF(AND(4060&lt;=$O$3,$O$3&lt;=11760,$A$41="○"),"△","")</f>
        <v/>
      </c>
      <c r="N41" s="43">
        <f>'H21.8.1～'!G12</f>
        <v>0</v>
      </c>
      <c r="O41" s="39" t="str">
        <f>IF(AND(3970&lt;=$O$3,$O$3&lt;=11490,$A$41="○"),"△","")</f>
        <v/>
      </c>
      <c r="P41" s="43">
        <f>'H22.8.1～'!G12</f>
        <v>0</v>
      </c>
      <c r="Q41" s="39" t="str">
        <f>IF(AND(4650&lt;=$O$3,$O$3&lt;=11780,$A$41="○"),"△","")</f>
        <v/>
      </c>
      <c r="R41" s="43">
        <f>'H23.8.1～'!G12</f>
        <v>0</v>
      </c>
      <c r="S41" s="39" t="str">
        <f>IF(AND(4640&lt;=$O$3,$O$3&lt;=11750,$A$41="○"),"△","")</f>
        <v/>
      </c>
      <c r="T41" s="43">
        <f>'H24.8.1～'!G12</f>
        <v>0</v>
      </c>
      <c r="U41" s="39" t="str">
        <f>IF(AND(4610&lt;=$O$3,$O$3&lt;=11690,$A$41="○"),"△","")</f>
        <v/>
      </c>
      <c r="V41" s="43">
        <f>'H25.8.1～'!G12</f>
        <v>0</v>
      </c>
      <c r="W41" s="39" t="str">
        <f>IF(AND(4610&lt;=$O$3,$O$3&lt;=11690,$A$41="○"),"△","")</f>
        <v/>
      </c>
      <c r="X41" s="43">
        <f>'H26.8.1～ '!G12</f>
        <v>0</v>
      </c>
      <c r="Y41" s="39" t="str">
        <f>IF(AND(4620&lt;=$O$3,$O$3&lt;=11710,$A$41="○"),"△","")</f>
        <v/>
      </c>
      <c r="Z41" s="43">
        <f>'H27.8.1～ '!G12</f>
        <v>0</v>
      </c>
      <c r="AA41" s="39" t="str">
        <f>IF(AND(4590&lt;=$O$3,$O$3&lt;=11640,$A$41="○"),"△","")</f>
        <v/>
      </c>
      <c r="AB41" s="43">
        <f>'H28.8.1～'!G12</f>
        <v>0</v>
      </c>
      <c r="AC41" s="39" t="str">
        <f>IF(AND(4940&lt;=$O$3,$O$3&lt;=12150,$A$41="○"),"△","")</f>
        <v/>
      </c>
      <c r="AD41" s="43">
        <f>'H29.8.1～'!G12</f>
        <v>0</v>
      </c>
      <c r="AE41" s="39" t="str">
        <f>IF(AND(4970&lt;=$O$3,$O$3&lt;=12220,A41="○"),"△","")</f>
        <v/>
      </c>
      <c r="AF41" s="43">
        <f>'H30.8.1~'!G12</f>
        <v>0</v>
      </c>
      <c r="AG41" s="96"/>
    </row>
    <row r="42" spans="1:33" x14ac:dyDescent="0.4">
      <c r="A42" s="44" t="str">
        <f>IF($J$7="35歳","○","")</f>
        <v/>
      </c>
      <c r="B42" s="43" t="s">
        <v>575</v>
      </c>
      <c r="C42" s="39" t="str">
        <f>IF(AND(12081&lt;=$O$3,$O$3&lt;=14450,$A$42="○"),"△","")</f>
        <v/>
      </c>
      <c r="D42" s="43">
        <f>'H16.8.1～'!G13</f>
        <v>0</v>
      </c>
      <c r="E42" s="39" t="str">
        <f>IF(AND(11901&lt;=$O$3,$O$3&lt;=14230,$A$42="○"),"△","")</f>
        <v/>
      </c>
      <c r="F42" s="43">
        <f>'H17.8.1～'!G13</f>
        <v>0</v>
      </c>
      <c r="G42" s="39" t="str">
        <f>IF(AND(11941&lt;=$O$3,$O$3&lt;=14280,$A$42="○"),"△","")</f>
        <v/>
      </c>
      <c r="H42" s="43">
        <f>'H18.8.1～'!G13</f>
        <v>0</v>
      </c>
      <c r="I42" s="39" t="str">
        <f>IF(AND(11891&lt;=$O$3,$O$3&lt;=14220,$A$42="○"),"△","")</f>
        <v/>
      </c>
      <c r="J42" s="43">
        <f>'H19.8.1～'!G13</f>
        <v>0</v>
      </c>
      <c r="K42" s="39" t="str">
        <f>IF(AND(11831&lt;=$O$3,$O$3&lt;=14140,$A$42="○"),"△","")</f>
        <v/>
      </c>
      <c r="L42" s="43">
        <f>'H20.8.1～'!G13</f>
        <v>0</v>
      </c>
      <c r="M42" s="39" t="str">
        <f>IF(AND(11761&lt;=$O$3,$O$3&lt;=14060,$A$42="○"),"△","")</f>
        <v/>
      </c>
      <c r="N42" s="43">
        <f>'H21.8.1～'!G13</f>
        <v>0</v>
      </c>
      <c r="O42" s="39" t="str">
        <f>IF(AND(11491&lt;=$O$3,$O$3&lt;=13730,$A$42="○"),"△","")</f>
        <v/>
      </c>
      <c r="P42" s="43">
        <f>'H22.8.1～'!G13</f>
        <v>0</v>
      </c>
      <c r="Q42" s="39" t="str">
        <f>IF(AND(11781&lt;=$O$3,$O$3&lt;=14340,$A$42="○"),"△","")</f>
        <v/>
      </c>
      <c r="R42" s="43">
        <f>'H23.8.1～'!G13</f>
        <v>0</v>
      </c>
      <c r="S42" s="39" t="str">
        <f>IF(AND(11751&lt;=$O$3,$O$3&lt;=14310,$A$42="○"),"△","")</f>
        <v/>
      </c>
      <c r="T42" s="43">
        <f>'H24.8.1～'!G13</f>
        <v>0</v>
      </c>
      <c r="U42" s="39" t="str">
        <f>IF(AND(11691&lt;=$O$3,$O$3&lt;=14230,$A$42="○"),"△","")</f>
        <v/>
      </c>
      <c r="V42" s="43">
        <f>'H25.8.1～'!G13</f>
        <v>0</v>
      </c>
      <c r="W42" s="39" t="str">
        <f>IF(AND(11691&lt;=$O$3,$O$3&lt;=14220,$A$42="○"),"△","")</f>
        <v/>
      </c>
      <c r="X42" s="43">
        <f>'H26.8.1～ '!G13</f>
        <v>0</v>
      </c>
      <c r="Y42" s="39" t="str">
        <f>IF(AND(11711&lt;=$O$3,$O$3&lt;=14240,$A$42="○"),"△","")</f>
        <v/>
      </c>
      <c r="Z42" s="43">
        <f>'H27.8.1～ '!G13</f>
        <v>0</v>
      </c>
      <c r="AA42" s="39" t="str">
        <f>IF(AND(11641&lt;=$O$3,$O$3&lt;=14160,$A$42="○"),"△","")</f>
        <v/>
      </c>
      <c r="AB42" s="43">
        <f>'H28.8.1～'!G13</f>
        <v>0</v>
      </c>
      <c r="AC42" s="39" t="str">
        <f>IF(AND(12151&lt;=$O$3,$O$3&lt;=14920,$A$42="○"),"△","")</f>
        <v/>
      </c>
      <c r="AD42" s="43">
        <f>'H29.8.1～'!G13</f>
        <v>0</v>
      </c>
      <c r="AE42" s="39" t="str">
        <f>IF(AND(12221&lt;=$O$3,$O$3&lt;=15010,A42="○"),"△","")</f>
        <v/>
      </c>
      <c r="AF42" s="43">
        <f>'H30.8.1~'!G13</f>
        <v>0</v>
      </c>
      <c r="AG42" s="96"/>
    </row>
    <row r="43" spans="1:33" x14ac:dyDescent="0.4">
      <c r="A43" s="44" t="str">
        <f>IF($J$7="35歳","○","")</f>
        <v/>
      </c>
      <c r="B43" s="43" t="s">
        <v>574</v>
      </c>
      <c r="C43" s="39" t="str">
        <f>IF(AND($O$3&gt;=14451,$A$43="○"),"△","")</f>
        <v/>
      </c>
      <c r="D43" s="43">
        <f>'H16.8.1～'!G14</f>
        <v>7225</v>
      </c>
      <c r="E43" s="39" t="str">
        <f>IF(AND($O$3&gt;=14231,$A$43="○"),"△","")</f>
        <v/>
      </c>
      <c r="F43" s="43">
        <f>'H17.8.1～'!G14</f>
        <v>7115</v>
      </c>
      <c r="G43" s="39" t="str">
        <f>IF(AND($O$3&gt;=14281,$A$43="○"),"△","")</f>
        <v/>
      </c>
      <c r="H43" s="43">
        <f>'H18.8.1～'!G14</f>
        <v>7140</v>
      </c>
      <c r="I43" s="39" t="str">
        <f>IF(AND($O$3&gt;=14221,$A$43="○"),"△","")</f>
        <v/>
      </c>
      <c r="J43" s="43">
        <f>'H19.8.1～'!G14</f>
        <v>7110</v>
      </c>
      <c r="K43" s="39" t="str">
        <f>IF(AND($O$3&gt;=14141,$A$43="○"),"△","")</f>
        <v/>
      </c>
      <c r="L43" s="43">
        <f>'H20.8.1～'!G14</f>
        <v>7070</v>
      </c>
      <c r="M43" s="39" t="str">
        <f>IF(AND($O$3&gt;=14061,$A$43="○"),"△","")</f>
        <v/>
      </c>
      <c r="N43" s="43">
        <f>'H21.8.1～'!G14</f>
        <v>7030</v>
      </c>
      <c r="O43" s="39" t="str">
        <f>IF(AND($O$3&gt;=13731,$A$43="○"),"△","")</f>
        <v/>
      </c>
      <c r="P43" s="43">
        <f>'H22.8.1～'!G14</f>
        <v>6865</v>
      </c>
      <c r="Q43" s="39" t="str">
        <f>IF(AND($O$3&gt;=14341,$A$43="○"),"△","")</f>
        <v/>
      </c>
      <c r="R43" s="43">
        <f>'H23.8.1～'!G14</f>
        <v>7170</v>
      </c>
      <c r="S43" s="39" t="str">
        <f>IF(AND($O$3&gt;=14311,$A$43="○"),"△","")</f>
        <v/>
      </c>
      <c r="T43" s="43">
        <f>'H24.8.1～'!G14</f>
        <v>7155</v>
      </c>
      <c r="U43" s="39" t="str">
        <f>IF(AND($O$3&gt;=14231,$A$43="○"),"△","")</f>
        <v/>
      </c>
      <c r="V43" s="43">
        <f>'H25.8.1～'!G14</f>
        <v>7115</v>
      </c>
      <c r="W43" s="39" t="str">
        <f>IF(AND($O$3&gt;=14221,$A$43="○"),"△","")</f>
        <v/>
      </c>
      <c r="X43" s="43">
        <f>'H26.8.1～ '!G14</f>
        <v>7110</v>
      </c>
      <c r="Y43" s="39" t="str">
        <f>IF(AND($O$3&gt;=14241,$A$43="○"),"△","")</f>
        <v/>
      </c>
      <c r="Z43" s="43">
        <f>'H27.8.1～ '!G14</f>
        <v>7120</v>
      </c>
      <c r="AA43" s="39" t="str">
        <f>IF(AND($O$3&gt;=14161,$A$43="○"),"△","")</f>
        <v/>
      </c>
      <c r="AB43" s="43">
        <f>'H28.8.1～'!G14</f>
        <v>7080</v>
      </c>
      <c r="AC43" s="39" t="str">
        <f>IF(AND($O$3&gt;=14921,$A$43="○"),"△","")</f>
        <v/>
      </c>
      <c r="AD43" s="43">
        <f>'H29.8.1～'!G14</f>
        <v>7460</v>
      </c>
      <c r="AE43" s="39" t="str">
        <f>IF(AND($O$3&gt;=15011,A43="○"),"△","")</f>
        <v/>
      </c>
      <c r="AF43" s="43">
        <f>'H30.8.1~'!G14</f>
        <v>7505</v>
      </c>
      <c r="AG43" s="96"/>
    </row>
    <row r="44" spans="1:33" x14ac:dyDescent="0.4">
      <c r="A44" s="42" t="str">
        <f>IF($J$7="55歳","○","")</f>
        <v/>
      </c>
      <c r="B44" s="41" t="s">
        <v>573</v>
      </c>
      <c r="C44" s="39" t="str">
        <f>IF(AND($O$3&lt;=4159,$A$44="○"),"△","")</f>
        <v/>
      </c>
      <c r="D44" s="41">
        <f>'H16.8.1～'!G17</f>
        <v>0</v>
      </c>
      <c r="E44" s="39" t="str">
        <f>IF(AND($O$3&lt;=4099,$A$44="○"),"△","")</f>
        <v/>
      </c>
      <c r="F44" s="41">
        <f>'H17.8.1～'!G17</f>
        <v>0</v>
      </c>
      <c r="G44" s="39" t="str">
        <f>IF(AND($O$3&lt;=4119,$A$44="○"),"△","")</f>
        <v/>
      </c>
      <c r="H44" s="41">
        <f>'H18.8.1～'!G17</f>
        <v>0</v>
      </c>
      <c r="I44" s="39" t="str">
        <f>IF(AND($O$3&lt;=4099,$A$44="○"),"△","")</f>
        <v/>
      </c>
      <c r="J44" s="41">
        <f>'H19.8.1～'!G17</f>
        <v>0</v>
      </c>
      <c r="K44" s="39" t="str">
        <f>IF(AND($O$3&lt;=4079,$A$44="○"),"△","")</f>
        <v/>
      </c>
      <c r="L44" s="41">
        <f>'H20.8.1～'!G17</f>
        <v>0</v>
      </c>
      <c r="M44" s="39" t="str">
        <f>IF(AND($O$3&lt;=4059,$A$44="○"),"△","")</f>
        <v/>
      </c>
      <c r="N44" s="41">
        <f>'H21.8.1～'!G17</f>
        <v>0</v>
      </c>
      <c r="O44" s="39" t="str">
        <f>IF(AND($O$3&lt;=3969,$A$44="○"),"△","")</f>
        <v/>
      </c>
      <c r="P44" s="41">
        <f>'H22.8.1～'!G17</f>
        <v>0</v>
      </c>
      <c r="Q44" s="39" t="str">
        <f>IF(AND($O$3&lt;=4649,$A$44="○"),"△","")</f>
        <v/>
      </c>
      <c r="R44" s="41">
        <f>'H23.8.1～'!G17</f>
        <v>0</v>
      </c>
      <c r="S44" s="39" t="str">
        <f>IF(AND($O$3&lt;=4639,$A$44="○"),"△","")</f>
        <v/>
      </c>
      <c r="T44" s="41">
        <f>'H24.8.1～'!G17</f>
        <v>0</v>
      </c>
      <c r="U44" s="39" t="str">
        <f>IF(AND($O$3&lt;=4609,$A$44="○"),"△","")</f>
        <v/>
      </c>
      <c r="V44" s="41">
        <f>'H25.8.1～'!G17</f>
        <v>0</v>
      </c>
      <c r="W44" s="39" t="str">
        <f>IF(AND($O$3&lt;=4609,$A$44="○"),"△","")</f>
        <v/>
      </c>
      <c r="X44" s="41">
        <f>'H26.8.1～ '!G17</f>
        <v>0</v>
      </c>
      <c r="Y44" s="39" t="str">
        <f>IF(AND($O$3&lt;=4619,$A$44="○"),"△","")</f>
        <v/>
      </c>
      <c r="Z44" s="41">
        <f>'H27.8.1～ '!G17</f>
        <v>0</v>
      </c>
      <c r="AA44" s="39" t="str">
        <f>IF(AND($O$3&lt;=4589,$A$44="○"),"△","")</f>
        <v/>
      </c>
      <c r="AB44" s="41">
        <f>'H28.8.1～'!G17</f>
        <v>0</v>
      </c>
      <c r="AC44" s="39" t="str">
        <f>IF(AND($O$3&lt;=4939,$A$44="○"),"△","")</f>
        <v/>
      </c>
      <c r="AD44" s="41">
        <f>'H29.8.1～'!G17</f>
        <v>0</v>
      </c>
      <c r="AE44" s="39" t="str">
        <f>IF(AND($O$3&lt;=4969,A44="○"),"△","")</f>
        <v/>
      </c>
      <c r="AF44" s="41">
        <f>'H30.8.1~'!G17</f>
        <v>0</v>
      </c>
      <c r="AG44" s="96" t="s">
        <v>43</v>
      </c>
    </row>
    <row r="45" spans="1:33" x14ac:dyDescent="0.4">
      <c r="A45" s="42" t="str">
        <f>IF($J$7="55歳","○","")</f>
        <v/>
      </c>
      <c r="B45" s="41" t="s">
        <v>572</v>
      </c>
      <c r="C45" s="39" t="str">
        <f>IF(AND(4160&lt;=$O$3,$O$3&lt;=12080,$A$45="○"),"△","")</f>
        <v/>
      </c>
      <c r="D45" s="41">
        <f>'H16.8.1～'!G18</f>
        <v>0</v>
      </c>
      <c r="E45" s="39" t="str">
        <f>IF(AND(4100&lt;=$O$3,$O$3&lt;=11900,$A$45="○"),"△","")</f>
        <v/>
      </c>
      <c r="F45" s="41">
        <f>'H17.8.1～'!G18</f>
        <v>0</v>
      </c>
      <c r="G45" s="39" t="str">
        <f>IF(AND(4120&lt;=$O$3,$O$3&lt;=11940,$A$45="○"),"△","")</f>
        <v/>
      </c>
      <c r="H45" s="41">
        <f>'H18.8.1～'!G18</f>
        <v>0</v>
      </c>
      <c r="I45" s="39" t="str">
        <f>IF(AND(4100&lt;=$O$3,$O$3&lt;=11890,$A$45="○"),"△","")</f>
        <v/>
      </c>
      <c r="J45" s="41">
        <f>'H19.8.1～'!G18</f>
        <v>0</v>
      </c>
      <c r="K45" s="39" t="str">
        <f>IF(AND(4080&lt;=$O$3,$O$3&lt;=11830,$A$45="○"),"△","")</f>
        <v/>
      </c>
      <c r="L45" s="41">
        <f>'H20.8.1～'!G18</f>
        <v>0</v>
      </c>
      <c r="M45" s="39" t="str">
        <f>IF(AND(4060&lt;=$O$3,$O$3&lt;=11760,$A$45="○"),"△","")</f>
        <v/>
      </c>
      <c r="N45" s="41">
        <f>'H21.8.1～'!G18</f>
        <v>0</v>
      </c>
      <c r="O45" s="39" t="str">
        <f>IF(AND(3970&lt;=$O$3,$O$3&lt;=11490,$A$45="○"),"△","")</f>
        <v/>
      </c>
      <c r="P45" s="41">
        <f>'H22.8.1～'!G18</f>
        <v>0</v>
      </c>
      <c r="Q45" s="39" t="str">
        <f>IF(AND(4650&lt;=$O$3,$O$3&lt;=11780,$A$45="○"),"△","")</f>
        <v/>
      </c>
      <c r="R45" s="41">
        <f>'H23.8.1～'!G18</f>
        <v>0</v>
      </c>
      <c r="S45" s="39" t="str">
        <f>IF(AND(4640&lt;=$O$3,$O$3&lt;=11750,$A$45="○"),"△","")</f>
        <v/>
      </c>
      <c r="T45" s="41">
        <f>'H24.8.1～'!G18</f>
        <v>0</v>
      </c>
      <c r="U45" s="39" t="str">
        <f>IF(AND(4610&lt;=$O$3,$O$3&lt;=11690,$A$45="○"),"△","")</f>
        <v/>
      </c>
      <c r="V45" s="41">
        <f>'H25.8.1～'!G18</f>
        <v>0</v>
      </c>
      <c r="W45" s="39" t="str">
        <f>IF(AND(4610&lt;=$O$3,$O$3&lt;=11690,$A$45="○"),"△","")</f>
        <v/>
      </c>
      <c r="X45" s="41">
        <f>'H26.8.1～ '!G18</f>
        <v>0</v>
      </c>
      <c r="Y45" s="39" t="str">
        <f>IF(AND(4620&lt;=$O$3,$O$3&lt;=11710,$A$45="○"),"△","")</f>
        <v/>
      </c>
      <c r="Z45" s="41">
        <f>'H27.8.1～ '!G18</f>
        <v>0</v>
      </c>
      <c r="AA45" s="39" t="str">
        <f>IF(AND(4590&lt;=$O$3,$O$3&lt;=11640,$A$45="○"),"△","")</f>
        <v/>
      </c>
      <c r="AB45" s="41">
        <f>'H28.8.1～'!G18</f>
        <v>0</v>
      </c>
      <c r="AC45" s="39" t="str">
        <f>IF(AND(4940&lt;=$O$3,$O$3&lt;=12150,$A$45="○"),"△","")</f>
        <v/>
      </c>
      <c r="AD45" s="41">
        <f>'H29.8.1～'!G18</f>
        <v>0</v>
      </c>
      <c r="AE45" s="39" t="str">
        <f>IF(AND(4970&lt;=$O$3,$O$3&lt;=12220,A45="○"),"△","")</f>
        <v/>
      </c>
      <c r="AF45" s="41">
        <f>'H30.8.1~'!G18</f>
        <v>0</v>
      </c>
      <c r="AG45" s="96"/>
    </row>
    <row r="46" spans="1:33" x14ac:dyDescent="0.4">
      <c r="A46" s="42" t="str">
        <f>IF($J$7="55歳","○","")</f>
        <v/>
      </c>
      <c r="B46" s="41" t="s">
        <v>571</v>
      </c>
      <c r="C46" s="39" t="str">
        <f>IF(AND(12081&lt;=$O$3,$O$3&lt;=15900,$A$46="○"),"△","")</f>
        <v/>
      </c>
      <c r="D46" s="41">
        <f>'H16.8.1～'!G19</f>
        <v>0</v>
      </c>
      <c r="E46" s="39" t="str">
        <f>IF(AND(11901&lt;=$O$3,$O$3&lt;=15660,$A$46="○"),"△","")</f>
        <v/>
      </c>
      <c r="F46" s="41">
        <f>'H17.8.1～'!G19</f>
        <v>0</v>
      </c>
      <c r="G46" s="39" t="str">
        <f>IF(AND(11941&lt;=$O$3,$O$3&lt;=15720,$A$46="○"),"△","")</f>
        <v/>
      </c>
      <c r="H46" s="41">
        <f>'H18.8.1～'!G19</f>
        <v>0</v>
      </c>
      <c r="I46" s="39" t="str">
        <f>IF(AND(11891&lt;=$O$3,$O$3&lt;=15650,$A$46="○"),"△","")</f>
        <v/>
      </c>
      <c r="J46" s="41">
        <f>'H19.8.1～'!G19</f>
        <v>0</v>
      </c>
      <c r="K46" s="39" t="str">
        <f>IF(AND(11831&lt;=$O$3,$O$3&lt;=15570,$A$46="○"),"△","")</f>
        <v/>
      </c>
      <c r="L46" s="41">
        <f>'H20.8.1～'!G19</f>
        <v>0</v>
      </c>
      <c r="M46" s="39" t="str">
        <f>IF(AND(11761&lt;=$O$3,$O$3&lt;=15480,$A$46="○"),"△","")</f>
        <v/>
      </c>
      <c r="N46" s="41">
        <f>'H21.8.1～'!G19</f>
        <v>0</v>
      </c>
      <c r="O46" s="39" t="str">
        <f>IF(AND(11491&lt;=$O$3,$O$3&lt;=15120,$A$46="○"),"△","")</f>
        <v/>
      </c>
      <c r="P46" s="41">
        <f>'H22.8.1～'!G19</f>
        <v>0</v>
      </c>
      <c r="Q46" s="39" t="str">
        <f>IF(AND(11781&lt;=$O$3,$O$3&lt;=15780,$A$46="○"),"△","")</f>
        <v/>
      </c>
      <c r="R46" s="41">
        <f>'H23.8.1～'!G19</f>
        <v>0</v>
      </c>
      <c r="S46" s="39" t="str">
        <f>IF(AND(11751&lt;=$O$3,$O$3&lt;=15740,$A$46="○"),"△","")</f>
        <v/>
      </c>
      <c r="T46" s="41">
        <f>'H24.8.1～'!G19</f>
        <v>0</v>
      </c>
      <c r="U46" s="39" t="str">
        <f>IF(AND(11691&lt;=$O$3,$O$3&lt;=15650,$A$46="○"),"△","")</f>
        <v/>
      </c>
      <c r="V46" s="41">
        <f>'H25.8.1～'!G19</f>
        <v>0</v>
      </c>
      <c r="W46" s="39" t="str">
        <f>IF(AND(11691&lt;=$O$3,$O$3&lt;=15640,$A$46="○"),"△","")</f>
        <v/>
      </c>
      <c r="X46" s="41">
        <f>'H26.8.1～ '!G19</f>
        <v>0</v>
      </c>
      <c r="Y46" s="39" t="str">
        <f>IF(AND(11711&lt;=$O$3,$O$3&lt;=15660,$A$46="○"),"△","")</f>
        <v/>
      </c>
      <c r="Z46" s="41">
        <f>'H27.8.1～ '!G19</f>
        <v>0</v>
      </c>
      <c r="AA46" s="39" t="str">
        <f>IF(AND(11641&lt;=$O$3,$O$3&lt;=15570,$A$46="○"),"△","")</f>
        <v/>
      </c>
      <c r="AB46" s="41">
        <f>'H28.8.1～'!G19</f>
        <v>0</v>
      </c>
      <c r="AC46" s="39" t="str">
        <f>IF(AND(12151&lt;=$O$3,$O$3&lt;=16420,$A$46="○"),"△","")</f>
        <v/>
      </c>
      <c r="AD46" s="41">
        <f>'H29.8.1～'!G19</f>
        <v>0</v>
      </c>
      <c r="AE46" s="39" t="str">
        <f>IF(AND(12221&lt;=$O$3,$O$3&lt;=16510,A46="○"),"△","")</f>
        <v/>
      </c>
      <c r="AF46" s="41">
        <f>'H30.8.1~'!G19</f>
        <v>0</v>
      </c>
      <c r="AG46" s="96"/>
    </row>
    <row r="47" spans="1:33" x14ac:dyDescent="0.4">
      <c r="A47" s="42" t="str">
        <f>IF($J$7="55歳","○","")</f>
        <v/>
      </c>
      <c r="B47" s="41" t="s">
        <v>570</v>
      </c>
      <c r="C47" s="39" t="str">
        <f>IF(AND($O$3&gt;=15901,$A$47="○"),"△","")</f>
        <v/>
      </c>
      <c r="D47" s="41">
        <f>'H16.8.1～'!G20</f>
        <v>7950</v>
      </c>
      <c r="E47" s="39" t="str">
        <f>IF(AND($O$3&gt;=15661,$A$47="○"),"△","")</f>
        <v/>
      </c>
      <c r="F47" s="41">
        <f>'H17.8.1～'!G20</f>
        <v>7830</v>
      </c>
      <c r="G47" s="39" t="str">
        <f>IF(AND($O$3&gt;=15721,$A$47="○"),"△","")</f>
        <v/>
      </c>
      <c r="H47" s="41">
        <f>'H18.8.1～'!G20</f>
        <v>7860</v>
      </c>
      <c r="I47" s="39" t="str">
        <f>IF(AND($O$3&gt;=15651,$A$47="○"),"△","")</f>
        <v/>
      </c>
      <c r="J47" s="41">
        <f>'H19.8.1～'!G20</f>
        <v>7825</v>
      </c>
      <c r="K47" s="39" t="str">
        <f>IF(AND($O$3&gt;=15571,$A$47="○"),"△","")</f>
        <v/>
      </c>
      <c r="L47" s="41">
        <f>'H20.8.1～'!G20</f>
        <v>7785</v>
      </c>
      <c r="M47" s="39" t="str">
        <f>IF(AND($O$3&gt;=15481,$A$47="○"),"△","")</f>
        <v/>
      </c>
      <c r="N47" s="41">
        <f>'H21.8.1～'!G20</f>
        <v>7740</v>
      </c>
      <c r="O47" s="39" t="str">
        <f>IF(AND($O$3&gt;=15121,$A$47="○"),"△","")</f>
        <v/>
      </c>
      <c r="P47" s="41">
        <f>'H22.8.1～'!G20</f>
        <v>7560</v>
      </c>
      <c r="Q47" s="39" t="str">
        <f>IF(AND($O$3&gt;=15781,$A$47="○"),"△","")</f>
        <v/>
      </c>
      <c r="R47" s="41">
        <f>'H23.8.1～'!G20</f>
        <v>7890</v>
      </c>
      <c r="S47" s="39" t="str">
        <f>IF(AND($O$3&gt;=15741,$A$47="○"),"△","")</f>
        <v/>
      </c>
      <c r="T47" s="41">
        <f>'H24.8.1～'!G20</f>
        <v>7870</v>
      </c>
      <c r="U47" s="39" t="str">
        <f>IF(AND($O$3&gt;=15651,$A$47="○"),"△","")</f>
        <v/>
      </c>
      <c r="V47" s="41">
        <f>'H25.8.1～'!G20</f>
        <v>7825</v>
      </c>
      <c r="W47" s="39" t="str">
        <f>IF(AND($O$3&gt;=15641,$A$47="○"),"△","")</f>
        <v/>
      </c>
      <c r="X47" s="41">
        <f>'H26.8.1～ '!G20</f>
        <v>7820</v>
      </c>
      <c r="Y47" s="39" t="str">
        <f>IF(AND($O$3&gt;=15661,$A$47="○"),"△","")</f>
        <v/>
      </c>
      <c r="Z47" s="41">
        <f>'H27.8.1～ '!G20</f>
        <v>7830</v>
      </c>
      <c r="AA47" s="39" t="str">
        <f>IF(AND($O$3&gt;=15571,$A$47="○"),"△","")</f>
        <v/>
      </c>
      <c r="AB47" s="41">
        <f>'H28.8.1～'!G20</f>
        <v>7785</v>
      </c>
      <c r="AC47" s="39" t="str">
        <f>IF(AND($O$3&gt;=16421,$A$47="○"),"△","")</f>
        <v/>
      </c>
      <c r="AD47" s="41">
        <f>'H29.8.1～'!G20</f>
        <v>8210</v>
      </c>
      <c r="AE47" s="39" t="str">
        <f>IF(AND($O$3&gt;=16511,A47="○"),"△","")</f>
        <v/>
      </c>
      <c r="AF47" s="41">
        <f>'H30.8.1~'!G20</f>
        <v>8255</v>
      </c>
      <c r="AG47" s="96"/>
    </row>
    <row r="48" spans="1:33" x14ac:dyDescent="0.4">
      <c r="A48" s="40" t="str">
        <f>IF($J$7="60歳","○","")</f>
        <v>○</v>
      </c>
      <c r="B48" s="38" t="s">
        <v>569</v>
      </c>
      <c r="C48" s="39" t="str">
        <f>IF(AND($O$3&lt;=4159,$A$48="○"),"△","")</f>
        <v>△</v>
      </c>
      <c r="D48" s="38">
        <f>'H16.8.1～'!G23</f>
        <v>0</v>
      </c>
      <c r="E48" s="39" t="str">
        <f>IF(AND($O$3&lt;=4099,$A$48="○"),"△","")</f>
        <v>△</v>
      </c>
      <c r="F48" s="38">
        <f>'H17.8.1～'!G23</f>
        <v>0</v>
      </c>
      <c r="G48" s="39" t="str">
        <f>IF(AND($O$3&lt;=4119,$A$48="○"),"△","")</f>
        <v>△</v>
      </c>
      <c r="H48" s="38">
        <f>'H18.8.1～'!G23</f>
        <v>0</v>
      </c>
      <c r="I48" s="39" t="str">
        <f>IF(AND($O$3&lt;=4099,$A$48="○"),"△","")</f>
        <v>△</v>
      </c>
      <c r="J48" s="38">
        <f>'H19.8.1～'!G23</f>
        <v>0</v>
      </c>
      <c r="K48" s="39" t="str">
        <f>IF(AND($O$3&lt;=4079,$A$48="○"),"△","")</f>
        <v>△</v>
      </c>
      <c r="L48" s="38">
        <f>'H20.8.1～'!G23</f>
        <v>0</v>
      </c>
      <c r="M48" s="39" t="str">
        <f>IF(AND($O$3&lt;=4059,$A$48="○"),"△","")</f>
        <v>△</v>
      </c>
      <c r="N48" s="38">
        <f>'H21.8.1～'!G23</f>
        <v>0</v>
      </c>
      <c r="O48" s="39" t="str">
        <f>IF(AND($O$3&lt;=3969,$A$48="○"),"△","")</f>
        <v>△</v>
      </c>
      <c r="P48" s="38">
        <f>'H22.8.1～'!G23</f>
        <v>0</v>
      </c>
      <c r="Q48" s="39" t="str">
        <f>IF(AND($O$3&lt;=4649,$A$48="○"),"△","")</f>
        <v>△</v>
      </c>
      <c r="R48" s="38">
        <f>'H23.8.1～'!G23</f>
        <v>0</v>
      </c>
      <c r="S48" s="39" t="str">
        <f>IF(AND($O$3&lt;=4639,$A$48="○"),"△","")</f>
        <v>△</v>
      </c>
      <c r="T48" s="38">
        <f>'H24.8.1～'!G23</f>
        <v>0</v>
      </c>
      <c r="U48" s="39" t="str">
        <f>IF(AND($O$3&lt;=4609,$A$48="○"),"△","")</f>
        <v>△</v>
      </c>
      <c r="V48" s="38">
        <f>'H25.8.1～'!G23</f>
        <v>0</v>
      </c>
      <c r="W48" s="39" t="str">
        <f>IF(AND($O$3&lt;=4609,$A$48="○"),"△","")</f>
        <v>△</v>
      </c>
      <c r="X48" s="38">
        <f>'H26.8.1～ '!G23</f>
        <v>0</v>
      </c>
      <c r="Y48" s="39" t="str">
        <f>IF(AND($O$3&lt;=4619,$A$48="○"),"△","")</f>
        <v>△</v>
      </c>
      <c r="Z48" s="38">
        <f>'H27.8.1～ '!G23</f>
        <v>0</v>
      </c>
      <c r="AA48" s="39" t="str">
        <f>IF(AND($O$3&lt;=4589,$A$48="○"),"△","")</f>
        <v>△</v>
      </c>
      <c r="AB48" s="38">
        <f>'H28.8.1～'!G23</f>
        <v>0</v>
      </c>
      <c r="AC48" s="39" t="str">
        <f>IF(AND($O$3&lt;=4939,$A$48="○"),"△","")</f>
        <v>△</v>
      </c>
      <c r="AD48" s="38">
        <f>'H29.8.1～'!G23</f>
        <v>0</v>
      </c>
      <c r="AE48" s="39" t="str">
        <f>IF(AND($O$3&lt;=4969,A48="○"),"△","")</f>
        <v>△</v>
      </c>
      <c r="AF48" s="38">
        <f>'H30.8.1~'!G23</f>
        <v>0</v>
      </c>
      <c r="AG48" s="96" t="s">
        <v>44</v>
      </c>
    </row>
    <row r="49" spans="1:33" x14ac:dyDescent="0.4">
      <c r="A49" s="40" t="str">
        <f>IF($J$7="60歳","○","")</f>
        <v>○</v>
      </c>
      <c r="B49" s="38" t="s">
        <v>568</v>
      </c>
      <c r="C49" s="39" t="str">
        <f>IF(AND(4160&lt;=$O$3,$O$3&lt;=10830,$A$49="○"),"△","")</f>
        <v/>
      </c>
      <c r="D49" s="38">
        <f>'H16.8.1～'!H24</f>
        <v>0</v>
      </c>
      <c r="E49" s="39" t="str">
        <f>IF(AND(4100&lt;=$O$3,$O$3&lt;=10670,$A$49="○"),"△","")</f>
        <v/>
      </c>
      <c r="F49" s="38">
        <f>'H17.8.1～'!H24</f>
        <v>0</v>
      </c>
      <c r="G49" s="39" t="str">
        <f>IF(AND(4120&lt;=$O$3,$O$3&lt;=10710,$A$49="○"),"△","")</f>
        <v/>
      </c>
      <c r="H49" s="38">
        <f>'H18.8.1～'!H24</f>
        <v>0</v>
      </c>
      <c r="I49" s="39" t="str">
        <f>IF(AND(4100&lt;=$O$3,$O$3&lt;=10660,$A$49="○"),"△","")</f>
        <v/>
      </c>
      <c r="J49" s="38">
        <f>'H19.8.1～'!H24</f>
        <v>0</v>
      </c>
      <c r="K49" s="39" t="str">
        <f>IF(AND(4080&lt;=$O$3,$O$3&lt;=10600,$A$49="○"),"△","")</f>
        <v/>
      </c>
      <c r="L49" s="38">
        <f>'H20.8.1～'!H24</f>
        <v>0</v>
      </c>
      <c r="M49" s="39" t="str">
        <f>IF(AND(4060&lt;=$O$3,$O$3&lt;=10540,$A$49="○"),"△","")</f>
        <v/>
      </c>
      <c r="N49" s="38">
        <f>'H21.8.1～'!H24</f>
        <v>0</v>
      </c>
      <c r="O49" s="39" t="str">
        <f>IF(AND(3970&lt;=$O$3,$O$3&lt;=10290,$A$49="○"),"△","")</f>
        <v/>
      </c>
      <c r="P49" s="38">
        <f>'H22.8.1～'!H24</f>
        <v>0</v>
      </c>
      <c r="Q49" s="39" t="str">
        <f>IF(AND(4650&lt;=$O$3,$O$3&lt;=10600,$A$49="○"),"△","")</f>
        <v/>
      </c>
      <c r="R49" s="38">
        <f>'H23.8.1～'!H24</f>
        <v>0</v>
      </c>
      <c r="S49" s="39" t="str">
        <f>IF(AND(4640&lt;=$O$3,$O$3&lt;=10570,$A$49="○"),"△","")</f>
        <v/>
      </c>
      <c r="T49" s="38">
        <f>'H24.8.1～'!H24</f>
        <v>0</v>
      </c>
      <c r="U49" s="39" t="str">
        <f>IF(AND(4610&lt;=$O$3,$O$3&lt;=10510,$A$49="○"),"△","")</f>
        <v/>
      </c>
      <c r="V49" s="38">
        <f>'H25.8.1～'!H24</f>
        <v>0</v>
      </c>
      <c r="W49" s="39" t="str">
        <f>IF(AND(4610&lt;=$O$3,$O$3&lt;=10510,$A$49="○"),"△","")</f>
        <v/>
      </c>
      <c r="X49" s="38">
        <f>'H26.8.1～ '!H24</f>
        <v>0</v>
      </c>
      <c r="Y49" s="39" t="str">
        <f>IF(AND(4620&lt;=$O$3,$O$3&lt;=10530,$A$49="○"),"△","")</f>
        <v/>
      </c>
      <c r="Z49" s="38">
        <f>'H27.8.1～ '!H24</f>
        <v>0</v>
      </c>
      <c r="AA49" s="39" t="str">
        <f>IF(AND(4590&lt;=$O$3,$O$3&lt;=10470,$A$49="○"),"△","")</f>
        <v/>
      </c>
      <c r="AB49" s="38">
        <f>'H28.8.1～'!H24</f>
        <v>0</v>
      </c>
      <c r="AC49" s="39" t="str">
        <f>IF(AND(4940&lt;=$O$3,$O$3&lt;=10930,$A$49="○"),"△","")</f>
        <v/>
      </c>
      <c r="AD49" s="38">
        <f>'H29.8.1～'!H24</f>
        <v>0</v>
      </c>
      <c r="AE49" s="39" t="str">
        <f>IF(AND(4970&lt;=$O$3,$O$3&lt;=10990,A49="○"),"△","")</f>
        <v/>
      </c>
      <c r="AF49" s="38">
        <f>'H30.8.1~'!H24</f>
        <v>0</v>
      </c>
      <c r="AG49" s="96"/>
    </row>
    <row r="50" spans="1:33" x14ac:dyDescent="0.4">
      <c r="A50" s="40" t="str">
        <f>IF($J$7="60歳","○","")</f>
        <v>○</v>
      </c>
      <c r="B50" s="38" t="s">
        <v>567</v>
      </c>
      <c r="C50" s="39" t="str">
        <f>IF(AND(10831&lt;=$O$3,$O$3&lt;=15400,$A$50="○"),"△","")</f>
        <v/>
      </c>
      <c r="D50" s="38">
        <f>'H16.8.1～'!G26</f>
        <v>0</v>
      </c>
      <c r="E50" s="39" t="str">
        <f>IF(AND(10671&lt;=$O$3,$O$3&lt;=15170,$A$50="○"),"△","")</f>
        <v/>
      </c>
      <c r="F50" s="38">
        <f>'H17.8.1～'!G26</f>
        <v>0</v>
      </c>
      <c r="G50" s="39" t="str">
        <f>IF(AND(10711&lt;=$O$3,$O$3&lt;=15230,$A$50="○"),"△","")</f>
        <v/>
      </c>
      <c r="H50" s="38">
        <f>'H18.8.1～'!G26</f>
        <v>0</v>
      </c>
      <c r="I50" s="39" t="str">
        <f>IF(AND(10661&lt;=$O$3,$O$3&lt;=15160,$A$50="○"),"△","")</f>
        <v/>
      </c>
      <c r="J50" s="38">
        <f>'H19.8.1～'!G26</f>
        <v>0</v>
      </c>
      <c r="K50" s="39" t="str">
        <f>IF(AND(10601&lt;=$O$3,$O$3&lt;=15080,$A$50="○"),"△","")</f>
        <v/>
      </c>
      <c r="L50" s="38">
        <f>'H20.8.1～'!G26</f>
        <v>0</v>
      </c>
      <c r="M50" s="39" t="str">
        <f>IF(AND(10541&lt;=$O$3,$O$3&lt;=14990,$A$50="○"),"△","")</f>
        <v/>
      </c>
      <c r="N50" s="38">
        <f>'H21.8.1～'!G26</f>
        <v>0</v>
      </c>
      <c r="O50" s="39" t="str">
        <f>IF(AND(10291&lt;=$O$3,$O$3&lt;=14640,$A$50="○"),"△","")</f>
        <v/>
      </c>
      <c r="P50" s="38">
        <f>'H22.8.1～'!G26</f>
        <v>0</v>
      </c>
      <c r="Q50" s="39" t="str">
        <f>IF(AND(10601&lt;=$O$3,$O$3&lt;=15070,$A$50="○"),"△","")</f>
        <v/>
      </c>
      <c r="R50" s="38">
        <f>'H23.8.1～'!G26</f>
        <v>0</v>
      </c>
      <c r="S50" s="39" t="str">
        <f>IF(AND(10571&lt;=$O$3,$O$3&lt;=15030,$A$50="○"),"△","")</f>
        <v/>
      </c>
      <c r="T50" s="38">
        <f>'H24.8.1～'!G26</f>
        <v>0</v>
      </c>
      <c r="U50" s="39" t="str">
        <f>IF(AND(10511&lt;=$O$3,$O$3&lt;=14950,$A$50="○"),"△","")</f>
        <v/>
      </c>
      <c r="V50" s="38">
        <f>'H25.8.1～'!G26</f>
        <v>0</v>
      </c>
      <c r="W50" s="39" t="str">
        <f>IF(AND(10511&lt;=$O$3,$O$3&lt;=14940,$A$50="○"),"△","")</f>
        <v/>
      </c>
      <c r="X50" s="38">
        <f>'H26.8.1～ '!G26</f>
        <v>0</v>
      </c>
      <c r="Y50" s="39" t="str">
        <f>IF(AND(10531&lt;=$O$3,$O$3&lt;=14960,$A$50="○"),"△","")</f>
        <v/>
      </c>
      <c r="Z50" s="38">
        <f>'H27.8.1～ '!G26</f>
        <v>0</v>
      </c>
      <c r="AA50" s="39" t="str">
        <f>IF(AND(10471&lt;=$O$3,$O$3&lt;=14870,$A$50="○"),"△","")</f>
        <v/>
      </c>
      <c r="AB50" s="38">
        <f>'H28.8.1～'!G26</f>
        <v>0</v>
      </c>
      <c r="AC50" s="39" t="str">
        <f>IF(AND(10931&lt;=$O$3,$O$3&lt;=15660,$A$50="○"),"△","")</f>
        <v/>
      </c>
      <c r="AD50" s="38">
        <f>'H29.8.1～'!G26</f>
        <v>0</v>
      </c>
      <c r="AE50" s="39" t="str">
        <f>IF(AND(10991&lt;=$O$3,$O$3&lt;=15750,A50="○"),"△","")</f>
        <v/>
      </c>
      <c r="AF50" s="38">
        <f>'H30.8.1~'!G26</f>
        <v>0</v>
      </c>
      <c r="AG50" s="96"/>
    </row>
    <row r="51" spans="1:33" x14ac:dyDescent="0.4">
      <c r="A51" s="40" t="str">
        <f>IF($J$7="60歳","○","")</f>
        <v>○</v>
      </c>
      <c r="B51" s="38" t="s">
        <v>566</v>
      </c>
      <c r="C51" s="39" t="str">
        <f>IF(AND($O$3&gt;=15401,$A$51="○"),"△","")</f>
        <v/>
      </c>
      <c r="D51" s="38">
        <f>'H16.8.1～'!G27</f>
        <v>6930</v>
      </c>
      <c r="E51" s="39" t="str">
        <f>IF(AND($O$3&gt;=15171,$A$51="○"),"△","")</f>
        <v/>
      </c>
      <c r="F51" s="38">
        <f>'H17.8.1～'!G27</f>
        <v>6826</v>
      </c>
      <c r="G51" s="39" t="str">
        <f>IF(AND($O$3&gt;=15231,$A$51="○"),"△","")</f>
        <v/>
      </c>
      <c r="H51" s="38">
        <f>'H18.8.1～'!G27</f>
        <v>6853</v>
      </c>
      <c r="I51" s="39" t="str">
        <f>IF(AND($O$3&gt;=15161,$A$51="○"),"△","")</f>
        <v/>
      </c>
      <c r="J51" s="38">
        <f>'H19.8.1～'!G27</f>
        <v>6822</v>
      </c>
      <c r="K51" s="39" t="str">
        <f>IF(AND($O$3&gt;=15081,$A$51="○"),"△","")</f>
        <v/>
      </c>
      <c r="L51" s="38">
        <f>'H20.8.1～'!G27</f>
        <v>6786</v>
      </c>
      <c r="M51" s="39" t="str">
        <f>IF(AND($O$3&gt;=14991,$A$51="○"),"△","")</f>
        <v/>
      </c>
      <c r="N51" s="38">
        <f>'H21.8.1～'!G27</f>
        <v>6745</v>
      </c>
      <c r="O51" s="39" t="str">
        <f>IF(AND($O$3&gt;=14641,$A$51="○"),"△","")</f>
        <v/>
      </c>
      <c r="P51" s="38">
        <f>'H22.8.1～'!G27</f>
        <v>6588</v>
      </c>
      <c r="Q51" s="39" t="str">
        <f>IF(AND($O$3&gt;=15071,$A$51="○"),"△","")</f>
        <v/>
      </c>
      <c r="R51" s="38">
        <f>'H23.8.1～'!G27</f>
        <v>6781</v>
      </c>
      <c r="S51" s="39" t="str">
        <f>IF(AND($O$3&gt;=15031,$A$51="○"),"△","")</f>
        <v/>
      </c>
      <c r="T51" s="38">
        <f>'H24.8.1～'!G27</f>
        <v>6763</v>
      </c>
      <c r="U51" s="39" t="str">
        <f>IF(AND($O$3&gt;=14951,$A$51="○"),"△","")</f>
        <v/>
      </c>
      <c r="V51" s="38">
        <f>'H25.8.1～'!G27</f>
        <v>6727</v>
      </c>
      <c r="W51" s="39" t="str">
        <f>IF(AND($O$3&gt;=14941,$A$51="○"),"△","")</f>
        <v/>
      </c>
      <c r="X51" s="38">
        <f>'H26.8.1～ '!G27</f>
        <v>6723</v>
      </c>
      <c r="Y51" s="39" t="str">
        <f>IF(AND($O$3&gt;=14961,$A$51="○"),"△","")</f>
        <v/>
      </c>
      <c r="Z51" s="38">
        <f>'H27.8.1～ '!G27</f>
        <v>6732</v>
      </c>
      <c r="AA51" s="39" t="str">
        <f>IF(AND($O$3&gt;=14871,$A$51="○"),"△","")</f>
        <v/>
      </c>
      <c r="AB51" s="38">
        <f>'H28.8.1～'!G27</f>
        <v>6691</v>
      </c>
      <c r="AC51" s="39" t="str">
        <f>IF(AND($O$3&gt;=15661,$A$51="○"),"△","")</f>
        <v/>
      </c>
      <c r="AD51" s="38">
        <f>'H29.8.1～'!G27</f>
        <v>7047</v>
      </c>
      <c r="AE51" s="39" t="str">
        <f>IF(AND($O$3&gt;=15751,A51="○"),"△","")</f>
        <v/>
      </c>
      <c r="AF51" s="38">
        <f>'H30.8.1~'!G27</f>
        <v>7087</v>
      </c>
      <c r="AG51" s="96"/>
    </row>
    <row r="54" spans="1:33" x14ac:dyDescent="0.4">
      <c r="C54">
        <f>MATCH("△",C56:C71,0)</f>
        <v>13</v>
      </c>
      <c r="E54">
        <f>MATCH("△",E56:E71,0)</f>
        <v>13</v>
      </c>
      <c r="G54">
        <f>MATCH("△",G56:G71,0)</f>
        <v>13</v>
      </c>
      <c r="I54">
        <f>MATCH("△",I56:I71,0)</f>
        <v>13</v>
      </c>
      <c r="K54">
        <f>MATCH("△",K56:K71,0)</f>
        <v>13</v>
      </c>
      <c r="M54">
        <f>MATCH("△",M56:M71,0)</f>
        <v>13</v>
      </c>
      <c r="O54">
        <f>MATCH("△",O56:O71,0)</f>
        <v>13</v>
      </c>
      <c r="Q54">
        <f>MATCH("△",Q56:Q71,0)</f>
        <v>13</v>
      </c>
      <c r="S54">
        <f>MATCH("△",S56:S71,0)</f>
        <v>13</v>
      </c>
      <c r="U54">
        <f>MATCH("△",U56:U71,0)</f>
        <v>13</v>
      </c>
      <c r="W54">
        <f>MATCH("△",W56:W71,0)</f>
        <v>13</v>
      </c>
      <c r="Y54">
        <f>MATCH("△",Y56:Y71,0)</f>
        <v>13</v>
      </c>
      <c r="AA54">
        <f>MATCH("△",AA56:AA71,0)</f>
        <v>13</v>
      </c>
      <c r="AC54">
        <f>MATCH("△",AC56:AC71,0)</f>
        <v>13</v>
      </c>
      <c r="AE54">
        <f>MATCH("△",AE56:AE71,0)</f>
        <v>13</v>
      </c>
    </row>
    <row r="55" spans="1:33" x14ac:dyDescent="0.4">
      <c r="C55" s="3"/>
      <c r="D55" s="47">
        <v>38200</v>
      </c>
      <c r="E55" s="3"/>
      <c r="F55" s="47">
        <v>38565</v>
      </c>
      <c r="G55" s="3"/>
      <c r="H55" s="47">
        <v>38930</v>
      </c>
      <c r="I55" s="3"/>
      <c r="J55" s="47">
        <v>39295</v>
      </c>
      <c r="K55" s="3"/>
      <c r="L55" s="47">
        <v>39661</v>
      </c>
      <c r="M55" s="3"/>
      <c r="N55" s="47">
        <v>40026</v>
      </c>
      <c r="O55" s="3"/>
      <c r="P55" s="47">
        <v>40391</v>
      </c>
      <c r="Q55" s="3"/>
      <c r="R55" s="47">
        <v>40756</v>
      </c>
      <c r="S55" s="3"/>
      <c r="T55" s="47">
        <v>41122</v>
      </c>
      <c r="U55" s="3"/>
      <c r="V55" s="47">
        <v>41487</v>
      </c>
      <c r="W55" s="3"/>
      <c r="X55" s="47">
        <v>41852</v>
      </c>
      <c r="Y55" s="3"/>
      <c r="Z55" s="47">
        <v>42217</v>
      </c>
      <c r="AA55" s="3"/>
      <c r="AB55" s="47">
        <v>42583</v>
      </c>
      <c r="AC55" s="3"/>
      <c r="AD55" s="47">
        <v>42948</v>
      </c>
      <c r="AE55" s="39"/>
      <c r="AF55" s="47">
        <v>43313</v>
      </c>
    </row>
    <row r="56" spans="1:33" x14ac:dyDescent="0.4">
      <c r="A56" s="46" t="str">
        <f>IF($J$7="29歳","○","")</f>
        <v/>
      </c>
      <c r="B56" s="45" t="s">
        <v>581</v>
      </c>
      <c r="C56" s="39" t="str">
        <f>IF(AND($O$3&lt;=4159,$A$56="○"),"△","")</f>
        <v/>
      </c>
      <c r="D56" s="45">
        <f>'H16.8.1～'!P5</f>
        <v>0</v>
      </c>
      <c r="E56" s="39" t="str">
        <f>IF(AND($O$3&lt;=4079,$A$56="○"),"△","")</f>
        <v/>
      </c>
      <c r="F56" s="45">
        <f>'H17.8.1～'!P5</f>
        <v>0</v>
      </c>
      <c r="G56" s="39" t="str">
        <f>IF(AND($O$3&lt;=4099,$A$56="○"),"△","")</f>
        <v/>
      </c>
      <c r="H56" s="45">
        <f>'H18.8.1～'!P5</f>
        <v>0</v>
      </c>
      <c r="I56" s="39" t="str">
        <f>IF(AND($O$3&lt;=4079,$A$56="○"),"△","")</f>
        <v/>
      </c>
      <c r="J56" s="45">
        <f>'H19.8.1～'!P5</f>
        <v>0</v>
      </c>
      <c r="K56" s="39" t="str">
        <f>IF(AND($O$3&lt;=4059,$A$56="○"),"△","")</f>
        <v/>
      </c>
      <c r="L56" s="45">
        <f>'H20.8.1～'!P5</f>
        <v>0</v>
      </c>
      <c r="M56" s="39" t="str">
        <f>IF(AND($O$3&lt;=4039,$A$56="○"),"△","")</f>
        <v/>
      </c>
      <c r="N56" s="45">
        <f>'H21.8.1～'!P5</f>
        <v>0</v>
      </c>
      <c r="O56" s="39" t="str">
        <f>IF(AND($O$3&lt;=3949,$A$56="○"),"△","")</f>
        <v/>
      </c>
      <c r="P56" s="45">
        <f>'H22.8.1～'!P5</f>
        <v>0</v>
      </c>
      <c r="Q56" s="39" t="str">
        <f>IF(AND($O$3&lt;=4649,$A$56="○"),"△","")</f>
        <v/>
      </c>
      <c r="R56" s="45">
        <f>'H23.8.1～'!P5</f>
        <v>0</v>
      </c>
      <c r="S56" s="39" t="str">
        <f>IF(AND($O$3&lt;=4639,$A$56="○"),"△","")</f>
        <v/>
      </c>
      <c r="T56" s="45">
        <f>'H24.8.1～'!P5</f>
        <v>0</v>
      </c>
      <c r="U56" s="39" t="str">
        <f>IF(AND($O$3&lt;=4609,$A$56="○"),"△","")</f>
        <v/>
      </c>
      <c r="V56" s="45">
        <f>'H25.8.1～'!P5</f>
        <v>0</v>
      </c>
      <c r="W56" s="39" t="str">
        <f>IF(AND($O$3&lt;=4599,$A$56="○"),"△","")</f>
        <v/>
      </c>
      <c r="X56" s="45">
        <f>'H26.8.1～ '!P5</f>
        <v>0</v>
      </c>
      <c r="Y56" s="39" t="str">
        <f>IF(AND($O$3&lt;=4599,$A$56="○"),"△","")</f>
        <v/>
      </c>
      <c r="Z56" s="45">
        <f>'H27.8.1～ '!P5</f>
        <v>0</v>
      </c>
      <c r="AA56" s="39" t="str">
        <f>IF(AND($O$3&lt;=4579,$A$56="○"),"△","")</f>
        <v/>
      </c>
      <c r="AB56" s="45">
        <f>'H28.8.1～'!P5</f>
        <v>0</v>
      </c>
      <c r="AC56" s="39" t="str">
        <f>IF(AND($O$3&lt;=4939,$A$56="○"),"△","")</f>
        <v/>
      </c>
      <c r="AD56" s="45">
        <f>'H29.8.1～'!P5</f>
        <v>0</v>
      </c>
      <c r="AE56" s="39" t="str">
        <f>IF(AND($O$3&lt;=4969,$A$56="○"),"△","")</f>
        <v/>
      </c>
      <c r="AF56" s="45">
        <f>'H30.8.1~'!P5</f>
        <v>0</v>
      </c>
      <c r="AG56" s="96" t="s">
        <v>41</v>
      </c>
    </row>
    <row r="57" spans="1:33" x14ac:dyDescent="0.4">
      <c r="A57" s="46" t="str">
        <f>IF($J$7="29歳","○","")</f>
        <v/>
      </c>
      <c r="B57" s="45" t="s">
        <v>580</v>
      </c>
      <c r="C57" s="39" t="str">
        <f>IF(AND(4160&lt;=$O$3,$O$3&lt;=12060,$A$57="○"),"△","")</f>
        <v/>
      </c>
      <c r="D57" s="45">
        <f>'H16.8.1～'!P6</f>
        <v>0</v>
      </c>
      <c r="E57" s="39" t="str">
        <f>IF(AND(4080&lt;=$O$3,$O$3&lt;=11830,$A$57="○"),"△","")</f>
        <v/>
      </c>
      <c r="F57" s="45">
        <f>'H17.8.1～'!P6</f>
        <v>0</v>
      </c>
      <c r="G57" s="39" t="str">
        <f>IF(AND(4100&lt;=$O$3,$O$3&lt;=11870,$A$57="○"),"△","")</f>
        <v/>
      </c>
      <c r="H57" s="45">
        <f>'H18.8.1～'!P6</f>
        <v>0</v>
      </c>
      <c r="I57" s="39" t="str">
        <f>IF(AND(4080&lt;=$O$3,$O$3&lt;=11820,$A$57="○"),"△","")</f>
        <v/>
      </c>
      <c r="J57" s="45">
        <f>'H19.8.1～'!P6</f>
        <v>0</v>
      </c>
      <c r="K57" s="39" t="str">
        <f>IF(AND(4060&lt;=$O$3,$O$3&lt;=11750,$A$57="○"),"△","")</f>
        <v/>
      </c>
      <c r="L57" s="45">
        <f>'H20.8.1～'!P6</f>
        <v>0</v>
      </c>
      <c r="M57" s="39" t="str">
        <f>IF(AND(4040&lt;=$O$3,$O$3&lt;=11680,$A$57="○"),"△","")</f>
        <v/>
      </c>
      <c r="N57" s="45">
        <f>'H21.8.1～'!P6</f>
        <v>0</v>
      </c>
      <c r="O57" s="39" t="str">
        <f>IF(AND(3950&lt;=$O$3,$O$3&lt;=11410,$A$57="○"),"△","")</f>
        <v/>
      </c>
      <c r="P57" s="45">
        <f>'H22.8.1～'!P6</f>
        <v>0</v>
      </c>
      <c r="Q57" s="39" t="str">
        <f>IF(AND(4650&lt;=$O$3,$O$3&lt;=11770,$A$57="○"),"△","")</f>
        <v/>
      </c>
      <c r="R57" s="45">
        <f>'H23.8.1～'!P6</f>
        <v>0</v>
      </c>
      <c r="S57" s="39" t="str">
        <f>IF(AND(4640&lt;=$O$3,$O$3&lt;=11740,$A$57="○"),"△","")</f>
        <v/>
      </c>
      <c r="T57" s="45">
        <f>'H24.8.1～'!P6</f>
        <v>0</v>
      </c>
      <c r="U57" s="39" t="str">
        <f>IF(AND(4610&lt;=$O$3,$O$3&lt;=11680,$A$57="○"),"△","")</f>
        <v/>
      </c>
      <c r="V57" s="45">
        <f>'H25.8.1～'!P6</f>
        <v>0</v>
      </c>
      <c r="W57" s="39" t="str">
        <f>IF(AND(4600&lt;=$O$3,$O$3&lt;=11650,$A$57="○"),"△","")</f>
        <v/>
      </c>
      <c r="X57" s="45">
        <f>'H26.8.1～ '!P6</f>
        <v>0</v>
      </c>
      <c r="Y57" s="39" t="str">
        <f>IF(AND(4600&lt;=$O$3,$O$3&lt;=11660,$A$57="○"),"△","")</f>
        <v/>
      </c>
      <c r="Z57" s="45">
        <f>'H27.8.1～ '!P6</f>
        <v>0</v>
      </c>
      <c r="AA57" s="39" t="str">
        <f>IF(AND(4580&lt;=$O$3,$O$3&lt;=11610,$A$57="○"),"△","")</f>
        <v/>
      </c>
      <c r="AB57" s="45">
        <f>'H28.8.1～'!P6</f>
        <v>0</v>
      </c>
      <c r="AC57" s="39" t="str">
        <f>IF(AND(4940&lt;=$O$3,$O$3&lt;=12140,$A$57="○"),"△","")</f>
        <v/>
      </c>
      <c r="AD57" s="45">
        <f>'H29.8.1～'!P6</f>
        <v>0</v>
      </c>
      <c r="AE57" s="39" t="str">
        <f>IF(AND(4970&lt;=$O$3,$O$3&lt;=12210,$A$57="○"),"△","")</f>
        <v/>
      </c>
      <c r="AF57" s="45">
        <f>'H30.8.1~'!P6</f>
        <v>0</v>
      </c>
      <c r="AG57" s="96"/>
    </row>
    <row r="58" spans="1:33" x14ac:dyDescent="0.4">
      <c r="A58" s="46" t="str">
        <f>IF($J$7="29歳","○","")</f>
        <v/>
      </c>
      <c r="B58" s="45" t="s">
        <v>579</v>
      </c>
      <c r="C58" s="39" t="str">
        <f>IF(AND(12061&lt;=$O$3,$O$3&lt;=12990,$A$58="○"),"△","")</f>
        <v/>
      </c>
      <c r="D58" s="45">
        <f>'H16.8.1～'!P7</f>
        <v>0</v>
      </c>
      <c r="E58" s="39" t="str">
        <f>IF(AND(11831&lt;=$O$3,$O$3&lt;=12740,$A$58="○"),"△","")</f>
        <v/>
      </c>
      <c r="F58" s="45">
        <f>'H17.8.1～'!P7</f>
        <v>0</v>
      </c>
      <c r="G58" s="39" t="str">
        <f>IF(AND(11871&lt;=$O$3,$O$3&lt;=12790,$A$58="○"),"△","")</f>
        <v/>
      </c>
      <c r="H58" s="45">
        <f>'H18.8.1～'!P7</f>
        <v>0</v>
      </c>
      <c r="I58" s="39" t="str">
        <f>IF(AND(11821&lt;=$O$3,$O$3&lt;=12730,$A$58="○"),"△","")</f>
        <v/>
      </c>
      <c r="J58" s="45">
        <f>'H19.8.1～'!P7</f>
        <v>0</v>
      </c>
      <c r="K58" s="39" t="str">
        <f>IF(AND(11751&lt;=$O$3,$O$3&lt;=12660,$A$58="○"),"△","")</f>
        <v/>
      </c>
      <c r="L58" s="45">
        <f>'H20.8.1～'!P7</f>
        <v>0</v>
      </c>
      <c r="M58" s="39" t="str">
        <f>IF(AND(11681&lt;=$O$3,$O$3&lt;=12580,$A$58="○"),"△","")</f>
        <v/>
      </c>
      <c r="N58" s="45">
        <f>'H21.8.1～'!P7</f>
        <v>0</v>
      </c>
      <c r="O58" s="39" t="str">
        <f>IF(AND(11411&lt;=$O$3,$O$3&lt;=12290,$A$58="○"),"△","")</f>
        <v/>
      </c>
      <c r="P58" s="45">
        <f>'H22.8.1～'!P7</f>
        <v>0</v>
      </c>
      <c r="Q58" s="39" t="str">
        <f>IF(AND(11771&lt;=$O$3,$O$3&lt;=12910,$A$58="○"),"△","")</f>
        <v/>
      </c>
      <c r="R58" s="45">
        <f>'H23.8.1～'!P7</f>
        <v>0</v>
      </c>
      <c r="S58" s="39" t="str">
        <f>IF(AND(11741&lt;=$O$3,$O$3&lt;=12880,$A$58="○"),"△","")</f>
        <v/>
      </c>
      <c r="T58" s="45">
        <f>'H24.8.1～'!P7</f>
        <v>0</v>
      </c>
      <c r="U58" s="39" t="str">
        <f>IF(AND(11681&lt;=$O$3,$O$3&lt;=12810,$A$58="○"),"△","")</f>
        <v/>
      </c>
      <c r="V58" s="45">
        <f>'H25.8.1～'!P7</f>
        <v>0</v>
      </c>
      <c r="W58" s="39" t="str">
        <f>IF(AND(11651&lt;=$O$3,$O$3&lt;=12780,$A$58="○"),"△","")</f>
        <v/>
      </c>
      <c r="X58" s="45">
        <f>'H26.8.1～ '!P7</f>
        <v>0</v>
      </c>
      <c r="Y58" s="39" t="str">
        <f>IF(AND(11661&lt;=$O$3,$O$3&lt;=12790,$A$58="○"),"△","")</f>
        <v/>
      </c>
      <c r="Z58" s="45">
        <f>'H27.8.1～ '!P7</f>
        <v>0</v>
      </c>
      <c r="AA58" s="39" t="str">
        <f>IF(AND(11611&lt;=$O$3,$O$3&lt;=12740,$A$58="○"),"△","")</f>
        <v/>
      </c>
      <c r="AB58" s="45">
        <f>'H28.8.1～'!P7</f>
        <v>0</v>
      </c>
      <c r="AC58" s="39" t="str">
        <f>IF(AND(12141&lt;=$O$3,$O$3&lt;=13420,$A$58="○"),"△","")</f>
        <v/>
      </c>
      <c r="AD58" s="45">
        <f>'H29.8.1～'!P7</f>
        <v>0</v>
      </c>
      <c r="AE58" s="39" t="str">
        <f>IF(AND(12211&lt;=$O$3,$O$3&lt;=13500,$A$58="○"),"△","")</f>
        <v/>
      </c>
      <c r="AF58" s="45">
        <f>'H30.8.1~'!P7</f>
        <v>0</v>
      </c>
      <c r="AG58" s="96"/>
    </row>
    <row r="59" spans="1:33" x14ac:dyDescent="0.4">
      <c r="A59" s="46" t="str">
        <f>IF($J$7="29歳","○","")</f>
        <v/>
      </c>
      <c r="B59" s="45" t="s">
        <v>578</v>
      </c>
      <c r="C59" s="39" t="str">
        <f>IF(AND($O$3&gt;=12991,$A$59="○"),"△","")</f>
        <v/>
      </c>
      <c r="D59" s="45">
        <f>'H16.8.1～'!P8</f>
        <v>6495</v>
      </c>
      <c r="E59" s="39" t="str">
        <f>IF(AND($O$3&gt;=12741,$A$59="○"),"△","")</f>
        <v/>
      </c>
      <c r="F59" s="45">
        <f>'H17.8.1～'!P8</f>
        <v>6370</v>
      </c>
      <c r="G59" s="39" t="str">
        <f>IF(AND($O$3&gt;=12791,$A$59="○"),"△","")</f>
        <v/>
      </c>
      <c r="H59" s="45">
        <f>'H18.8.1～'!P8</f>
        <v>6395</v>
      </c>
      <c r="I59" s="39" t="str">
        <f>IF(AND($O$3&gt;=12731,$A$59="○"),"△","")</f>
        <v/>
      </c>
      <c r="J59" s="45">
        <f>'H19.8.1～'!P8</f>
        <v>6365</v>
      </c>
      <c r="K59" s="39" t="str">
        <f>IF(AND($O$3&gt;=12661,$A$59="○"),"△","")</f>
        <v/>
      </c>
      <c r="L59" s="45">
        <f>'H20.8.1～'!P8</f>
        <v>6330</v>
      </c>
      <c r="M59" s="39" t="str">
        <f>IF(AND($O$3&gt;=12581,$A$59="○"),"△","")</f>
        <v/>
      </c>
      <c r="N59" s="45">
        <f>'H21.8.1～'!P8</f>
        <v>6290</v>
      </c>
      <c r="O59" s="39" t="str">
        <f>IF(AND($O$3&gt;=12291,$A$59="○"),"△","")</f>
        <v/>
      </c>
      <c r="P59" s="45">
        <f>'H22.8.1～'!P8</f>
        <v>6145</v>
      </c>
      <c r="Q59" s="39" t="str">
        <f>IF(AND($O$3&gt;=12911,$A$59="○"),"△","")</f>
        <v/>
      </c>
      <c r="R59" s="45">
        <f>'H23.8.1～'!P8</f>
        <v>6455</v>
      </c>
      <c r="S59" s="39" t="str">
        <f>IF(AND($O$3&gt;=12881,$A$59="○"),"△","")</f>
        <v/>
      </c>
      <c r="T59" s="45">
        <f>'H24.8.1～'!P8</f>
        <v>6440</v>
      </c>
      <c r="U59" s="39" t="str">
        <f>IF(AND($O$3&gt;=12811,$A$59="○"),"△","")</f>
        <v/>
      </c>
      <c r="V59" s="45">
        <f>'H25.8.1～'!P8</f>
        <v>6405</v>
      </c>
      <c r="W59" s="39" t="str">
        <f>IF(AND($O$3&gt;=12781,$A$59="○"),"△","")</f>
        <v/>
      </c>
      <c r="X59" s="45">
        <f>'H26.8.1～ '!P8</f>
        <v>6390</v>
      </c>
      <c r="Y59" s="39" t="str">
        <f>IF(AND($O$3&gt;=12791,$A$59="○"),"△","")</f>
        <v/>
      </c>
      <c r="Z59" s="45">
        <f>'H27.8.1～ '!P8</f>
        <v>6395</v>
      </c>
      <c r="AA59" s="39" t="str">
        <f>IF(AND($O$3&gt;=12741,$A$59="○"),"△","")</f>
        <v/>
      </c>
      <c r="AB59" s="45">
        <f>'H28.8.1～'!P8</f>
        <v>6370</v>
      </c>
      <c r="AC59" s="39" t="str">
        <f>IF(AND($O$3&gt;=13421,$A$59="○"),"△","")</f>
        <v/>
      </c>
      <c r="AD59" s="45">
        <f>'H29.8.1～'!P8</f>
        <v>6710</v>
      </c>
      <c r="AE59" s="39" t="str">
        <f>IF(AND($O$3&gt;=13501,$A$59="○"),"△","")</f>
        <v/>
      </c>
      <c r="AF59" s="45">
        <f>'H30.8.1~'!P8</f>
        <v>6750</v>
      </c>
      <c r="AG59" s="96"/>
    </row>
    <row r="60" spans="1:33" x14ac:dyDescent="0.4">
      <c r="A60" s="44" t="str">
        <f>IF($J$7="35歳","○","")</f>
        <v/>
      </c>
      <c r="B60" s="43" t="s">
        <v>577</v>
      </c>
      <c r="C60" s="39" t="str">
        <f>IF(AND($O$3&lt;=4159,$A$60="○"),"△","")</f>
        <v/>
      </c>
      <c r="D60" s="43">
        <f>'H16.8.1～'!P11</f>
        <v>0</v>
      </c>
      <c r="E60" s="39" t="str">
        <f>IF(AND($O$3&lt;=4079,$A$60="○"),"△","")</f>
        <v/>
      </c>
      <c r="F60" s="43">
        <f>'H17.8.1～'!P11</f>
        <v>0</v>
      </c>
      <c r="G60" s="39" t="str">
        <f>IF(AND($O$3&lt;=4099,$A$60="○"),"△","")</f>
        <v/>
      </c>
      <c r="H60" s="43">
        <f>'H18.8.1～'!P11</f>
        <v>0</v>
      </c>
      <c r="I60" s="39" t="str">
        <f>IF(AND($O$3&lt;=4079,$A$60="○"),"△","")</f>
        <v/>
      </c>
      <c r="J60" s="43">
        <f>'H19.8.1～'!P11</f>
        <v>0</v>
      </c>
      <c r="K60" s="39" t="str">
        <f>IF(AND($O$3&lt;=4059,$A$60="○"),"△","")</f>
        <v/>
      </c>
      <c r="L60" s="43">
        <f>'H20.8.1～'!P11</f>
        <v>0</v>
      </c>
      <c r="M60" s="39" t="str">
        <f>IF(AND($O$3&lt;=4039,$A$60="○"),"△","")</f>
        <v/>
      </c>
      <c r="N60" s="43">
        <f>'H21.8.1～'!P11</f>
        <v>0</v>
      </c>
      <c r="O60" s="39" t="str">
        <f>IF(AND($O$3&lt;=3949,$A$60="○"),"△","")</f>
        <v/>
      </c>
      <c r="P60" s="43">
        <f>'H22.8.1～'!P11</f>
        <v>0</v>
      </c>
      <c r="Q60" s="39" t="str">
        <f>IF(AND($O$3&lt;=4649,$A$60="○"),"△","")</f>
        <v/>
      </c>
      <c r="R60" s="43">
        <f>'H23.8.1～'!P11</f>
        <v>0</v>
      </c>
      <c r="S60" s="39" t="str">
        <f>IF(AND($O$3&lt;=4639,$A$60="○"),"△","")</f>
        <v/>
      </c>
      <c r="T60" s="43">
        <f>'H24.8.1～'!P11</f>
        <v>0</v>
      </c>
      <c r="U60" s="39" t="str">
        <f>IF(AND($O$3&lt;=4609,$A$60="○"),"△","")</f>
        <v/>
      </c>
      <c r="V60" s="43">
        <f>'H25.8.1～'!P11</f>
        <v>0</v>
      </c>
      <c r="W60" s="39" t="str">
        <f>IF(AND($O$3&lt;=4599,$A$60="○"),"△","")</f>
        <v/>
      </c>
      <c r="X60" s="43">
        <f>'H26.8.1～ '!P11</f>
        <v>0</v>
      </c>
      <c r="Y60" s="39" t="str">
        <f>IF(AND($O$3&lt;=4599,$A$60="○"),"△","")</f>
        <v/>
      </c>
      <c r="Z60" s="43">
        <f>'H27.8.1～ '!P11</f>
        <v>0</v>
      </c>
      <c r="AA60" s="39" t="str">
        <f>IF(AND($O$3&lt;=4579,$A$60="○"),"△","")</f>
        <v/>
      </c>
      <c r="AB60" s="43">
        <f>'H28.8.1～'!P11</f>
        <v>0</v>
      </c>
      <c r="AC60" s="39" t="str">
        <f>IF(AND($O$3&lt;=4939,$A$60="○"),"△","")</f>
        <v/>
      </c>
      <c r="AD60" s="43">
        <f>'H29.8.1～'!P11</f>
        <v>0</v>
      </c>
      <c r="AE60" s="39" t="str">
        <f>IF(AND($O$3&lt;=4969,$A$60="○"),"△","")</f>
        <v/>
      </c>
      <c r="AF60" s="43">
        <f>'H30.8.1~'!P11</f>
        <v>0</v>
      </c>
      <c r="AG60" s="96" t="s">
        <v>42</v>
      </c>
    </row>
    <row r="61" spans="1:33" x14ac:dyDescent="0.4">
      <c r="A61" s="44" t="str">
        <f>IF($J$7="35歳","○","")</f>
        <v/>
      </c>
      <c r="B61" s="43" t="s">
        <v>576</v>
      </c>
      <c r="C61" s="39" t="str">
        <f>IF(AND(4160&lt;=$O$3,$O$3&lt;=12060,$A$61="○"),"△","")</f>
        <v/>
      </c>
      <c r="D61" s="43">
        <f>'H16.8.1～'!P12</f>
        <v>0</v>
      </c>
      <c r="E61" s="39" t="str">
        <f>IF(AND(4080&lt;=$O$3,$O$3&lt;=11830,$A$61="○"),"△","")</f>
        <v/>
      </c>
      <c r="F61" s="43">
        <f>'H17.8.1～'!P12</f>
        <v>0</v>
      </c>
      <c r="G61" s="39" t="str">
        <f>IF(AND(4100&lt;=$O$3,$O$3&lt;=11870,$A$61="○"),"△","")</f>
        <v/>
      </c>
      <c r="H61" s="43">
        <f>'H18.8.1～'!P12</f>
        <v>0</v>
      </c>
      <c r="I61" s="39" t="str">
        <f>IF(AND(4080&lt;=$O$3,$O$3&lt;=11820,$A$61="○"),"△","")</f>
        <v/>
      </c>
      <c r="J61" s="43">
        <f>'H19.8.1～'!P12</f>
        <v>0</v>
      </c>
      <c r="K61" s="39" t="str">
        <f>IF(AND(4060&lt;=$O$3,$O$3&lt;=11750,$A$61="○"),"△","")</f>
        <v/>
      </c>
      <c r="L61" s="43">
        <f>'H20.8.1～'!P12</f>
        <v>0</v>
      </c>
      <c r="M61" s="39" t="str">
        <f>IF(AND(4040&lt;=$O$3,$O$3&lt;=11680,$A$61="○"),"△","")</f>
        <v/>
      </c>
      <c r="N61" s="43">
        <f>'H21.8.1～'!P12</f>
        <v>0</v>
      </c>
      <c r="O61" s="39" t="str">
        <f>IF(AND(3950&lt;=$O$3,$O$3&lt;=11410,$A$61="○"),"△","")</f>
        <v/>
      </c>
      <c r="P61" s="43">
        <f>'H22.8.1～'!P12</f>
        <v>0</v>
      </c>
      <c r="Q61" s="39" t="str">
        <f>IF(AND(4650&lt;=$O$3,$O$3&lt;=11770,$A$61="○"),"△","")</f>
        <v/>
      </c>
      <c r="R61" s="43">
        <f>'H23.8.1～'!P12</f>
        <v>0</v>
      </c>
      <c r="S61" s="39" t="str">
        <f>IF(AND(4640&lt;=$O$3,$O$3&lt;=11740,$A$61="○"),"△","")</f>
        <v/>
      </c>
      <c r="T61" s="43">
        <f>'H24.8.1～'!P12</f>
        <v>0</v>
      </c>
      <c r="U61" s="39" t="str">
        <f>IF(AND(4610&lt;=$O$3,$O$3&lt;=11680,$A$61="○"),"△","")</f>
        <v/>
      </c>
      <c r="V61" s="43">
        <f>'H25.8.1～'!P12</f>
        <v>0</v>
      </c>
      <c r="W61" s="39" t="str">
        <f>IF(AND(4600&lt;=$O$3,$O$3&lt;=11650,$A$61="○"),"△","")</f>
        <v/>
      </c>
      <c r="X61" s="43">
        <f>'H26.8.1～ '!P12</f>
        <v>0</v>
      </c>
      <c r="Y61" s="39" t="str">
        <f>IF(AND(4600&lt;=$O$3,$O$3&lt;=11660,$A$61="○"),"△","")</f>
        <v/>
      </c>
      <c r="Z61" s="43">
        <f>'H27.8.1～ '!P12</f>
        <v>0</v>
      </c>
      <c r="AA61" s="39" t="str">
        <f>IF(AND(4580&lt;=$O$3,$O$3&lt;=11610,$A$61="○"),"△","")</f>
        <v/>
      </c>
      <c r="AB61" s="43">
        <f>'H28.8.1～'!P12</f>
        <v>0</v>
      </c>
      <c r="AC61" s="39" t="str">
        <f>IF(AND(4940&lt;=$O$3,$O$3&lt;=12140,$A$61="○"),"△","")</f>
        <v/>
      </c>
      <c r="AD61" s="43">
        <f>'H29.8.1～'!P12</f>
        <v>0</v>
      </c>
      <c r="AE61" s="39" t="str">
        <f>IF(AND(4970&lt;=$O$3,$O$3&lt;=12210,A61="○"),"△","")</f>
        <v/>
      </c>
      <c r="AF61" s="43">
        <f>'H30.8.1~'!P12</f>
        <v>0</v>
      </c>
      <c r="AG61" s="96"/>
    </row>
    <row r="62" spans="1:33" x14ac:dyDescent="0.4">
      <c r="A62" s="44" t="str">
        <f>IF($J$7="35歳","○","")</f>
        <v/>
      </c>
      <c r="B62" s="43" t="s">
        <v>575</v>
      </c>
      <c r="C62" s="39" t="str">
        <f>IF(AND(12061&lt;=$O$3,$O$3&lt;=14430,$A$62="○"),"△","")</f>
        <v/>
      </c>
      <c r="D62" s="43">
        <f>'H16.8.1～'!P13</f>
        <v>0</v>
      </c>
      <c r="E62" s="39" t="str">
        <f>IF(AND(11831&lt;=$O$3,$O$3&lt;=14150,$A$62="○"),"△","")</f>
        <v/>
      </c>
      <c r="F62" s="43">
        <f>'H17.8.1～'!P13</f>
        <v>0</v>
      </c>
      <c r="G62" s="39" t="str">
        <f>IF(AND(11871&lt;=$O$3,$O$3&lt;=14200,$A$62="○"),"△","")</f>
        <v/>
      </c>
      <c r="H62" s="43">
        <f>'H18.8.1～'!P13</f>
        <v>0</v>
      </c>
      <c r="I62" s="39" t="str">
        <f>IF(AND(11821&lt;=$O$3,$O$3&lt;=14140,$A$62="○"),"△","")</f>
        <v/>
      </c>
      <c r="J62" s="43">
        <f>'H19.8.1～'!P13</f>
        <v>0</v>
      </c>
      <c r="K62" s="39" t="str">
        <f>IF(AND(11751&lt;=$O$3,$O$3&lt;=14060,$A$62="○"),"△","")</f>
        <v/>
      </c>
      <c r="L62" s="43">
        <f>'H20.8.1～'!P13</f>
        <v>0</v>
      </c>
      <c r="M62" s="39" t="str">
        <f>IF(AND(11681&lt;=$O$3,$O$3&lt;=13980,$A$62="○"),"△","")</f>
        <v/>
      </c>
      <c r="N62" s="43">
        <f>'H21.8.1～'!P13</f>
        <v>0</v>
      </c>
      <c r="O62" s="39" t="str">
        <f>IF(AND(11411&lt;=$O$3,$O$3&lt;=13650,$A$62="○"),"△","")</f>
        <v/>
      </c>
      <c r="P62" s="43">
        <f>'H22.8.1～'!P13</f>
        <v>0</v>
      </c>
      <c r="Q62" s="39" t="str">
        <f>IF(AND(11771&lt;=$O$3,$O$3&lt;=14340,$A$62="○"),"△","")</f>
        <v/>
      </c>
      <c r="R62" s="43">
        <f>'H23.8.1～'!P13</f>
        <v>0</v>
      </c>
      <c r="S62" s="39" t="str">
        <f>IF(AND(11741&lt;=$O$3,$O$3&lt;=14310,$A$62="○"),"△","")</f>
        <v/>
      </c>
      <c r="T62" s="43">
        <f>'H24.8.1～'!P13</f>
        <v>0</v>
      </c>
      <c r="U62" s="39" t="str">
        <f>IF(AND(11681&lt;=$O$3,$O$3&lt;=14230,$A$62="○"),"△","")</f>
        <v/>
      </c>
      <c r="V62" s="43">
        <f>'H25.8.1～'!P13</f>
        <v>0</v>
      </c>
      <c r="W62" s="39" t="str">
        <f>IF(AND(11651&lt;=$O$3,$O$3&lt;=14200,$A$62="○"),"△","")</f>
        <v/>
      </c>
      <c r="X62" s="43">
        <f>'H26.8.1～ '!P13</f>
        <v>0</v>
      </c>
      <c r="Y62" s="39" t="str">
        <f>IF(AND(11661&lt;=$O$3,$O$3&lt;=14210,$A$62="○"),"△","")</f>
        <v/>
      </c>
      <c r="Z62" s="43">
        <f>'H27.8.1～ '!P13</f>
        <v>0</v>
      </c>
      <c r="AA62" s="39" t="str">
        <f>IF(AND(11611&lt;=$O$3,$O$3&lt;=14150,$A$62="○"),"△","")</f>
        <v/>
      </c>
      <c r="AB62" s="43">
        <f>'H28.8.1～'!P13</f>
        <v>0</v>
      </c>
      <c r="AC62" s="39" t="str">
        <f>IF(AND(12141&lt;=$O$3,$O$3&lt;=14910,$A$62="○"),"△","")</f>
        <v/>
      </c>
      <c r="AD62" s="43">
        <f>'H29.8.1～'!P13</f>
        <v>0</v>
      </c>
      <c r="AE62" s="39" t="str">
        <f>IF(AND(12211&lt;=$O$3,$O$3&lt;=14990,A62="○"),"△","")</f>
        <v/>
      </c>
      <c r="AF62" s="43">
        <f>'H30.8.1~'!P13</f>
        <v>0</v>
      </c>
      <c r="AG62" s="96"/>
    </row>
    <row r="63" spans="1:33" x14ac:dyDescent="0.4">
      <c r="A63" s="44" t="str">
        <f>IF($J$7="35歳","○","")</f>
        <v/>
      </c>
      <c r="B63" s="43" t="s">
        <v>574</v>
      </c>
      <c r="C63" s="39" t="str">
        <f>IF(AND($O$3&gt;=14431,$A$63="○"),"△","")</f>
        <v/>
      </c>
      <c r="D63" s="43">
        <f>'H16.8.1～'!P14</f>
        <v>7215</v>
      </c>
      <c r="E63" s="39" t="str">
        <f>IF(AND($O$3&gt;=14151,$A$63="○"),"△","")</f>
        <v/>
      </c>
      <c r="F63" s="43">
        <f>'H17.8.1～'!P14</f>
        <v>7075</v>
      </c>
      <c r="G63" s="39" t="str">
        <f>IF(AND($O$3&gt;=14201,$A$63="○"),"△","")</f>
        <v/>
      </c>
      <c r="H63" s="43">
        <f>'H18.8.1～'!P14</f>
        <v>7100</v>
      </c>
      <c r="I63" s="39" t="str">
        <f>IF(AND($O$3&gt;=14141,$A$63="○"),"△","")</f>
        <v/>
      </c>
      <c r="J63" s="43">
        <f>'H19.8.1～'!P14</f>
        <v>7070</v>
      </c>
      <c r="K63" s="39" t="str">
        <f>IF(AND($O$3&gt;=14061,$A$63="○"),"△","")</f>
        <v/>
      </c>
      <c r="L63" s="43">
        <f>'H20.8.1～'!P14</f>
        <v>7030</v>
      </c>
      <c r="M63" s="39" t="str">
        <f>IF(AND($O$3&gt;=13981,$A$63="○"),"△","")</f>
        <v/>
      </c>
      <c r="N63" s="43">
        <f>'H21.8.1～'!P14</f>
        <v>6990</v>
      </c>
      <c r="O63" s="39" t="str">
        <f>IF(AND($O$3&gt;=13651,$A$63="○"),"△","")</f>
        <v/>
      </c>
      <c r="P63" s="43">
        <f>'H22.8.1～'!P14</f>
        <v>6825</v>
      </c>
      <c r="Q63" s="39" t="str">
        <f>IF(AND($O$3&gt;=14341,$A$63="○"),"△","")</f>
        <v/>
      </c>
      <c r="R63" s="43">
        <f>'H23.8.1～'!P14</f>
        <v>7170</v>
      </c>
      <c r="S63" s="39" t="str">
        <f>IF(AND($O$3&gt;=14311,$A$63="○"),"△","")</f>
        <v/>
      </c>
      <c r="T63" s="43">
        <f>'H24.8.1～'!P14</f>
        <v>7155</v>
      </c>
      <c r="U63" s="39" t="str">
        <f>IF(AND($O$3&gt;=14231,$A$63="○"),"△","")</f>
        <v/>
      </c>
      <c r="V63" s="43">
        <f>'H25.8.1～'!P14</f>
        <v>7115</v>
      </c>
      <c r="W63" s="39" t="str">
        <f>IF(AND($O$3&gt;=14201,$A$63="○"),"△","")</f>
        <v/>
      </c>
      <c r="X63" s="43">
        <f>'H26.8.1～ '!P14</f>
        <v>7100</v>
      </c>
      <c r="Y63" s="39" t="str">
        <f>IF(AND($O$3&gt;=14211,$A$63="○"),"△","")</f>
        <v/>
      </c>
      <c r="Z63" s="43">
        <f>'H27.8.1～ '!P14</f>
        <v>7105</v>
      </c>
      <c r="AA63" s="39" t="str">
        <f>IF(AND($O$3&gt;=14151,$A$63="○"),"△","")</f>
        <v/>
      </c>
      <c r="AB63" s="43">
        <f>'H28.8.1～'!P14</f>
        <v>7075</v>
      </c>
      <c r="AC63" s="39" t="str">
        <f>IF(AND($O$3&gt;=14911,$A$63="○"),"△","")</f>
        <v/>
      </c>
      <c r="AD63" s="43">
        <f>'H29.8.1～'!P14</f>
        <v>7455</v>
      </c>
      <c r="AE63" s="39" t="str">
        <f>IF(AND($O$3&gt;=14991,A63="○"),"△","")</f>
        <v/>
      </c>
      <c r="AF63" s="43">
        <f>'H30.8.1~'!P14</f>
        <v>7495</v>
      </c>
      <c r="AG63" s="96"/>
    </row>
    <row r="64" spans="1:33" x14ac:dyDescent="0.4">
      <c r="A64" s="42" t="str">
        <f>IF($J$7="55歳","○","")</f>
        <v/>
      </c>
      <c r="B64" s="41" t="s">
        <v>573</v>
      </c>
      <c r="C64" s="39" t="str">
        <f>IF(AND($O$3&lt;=4159,$A$64="○"),"△","")</f>
        <v/>
      </c>
      <c r="D64" s="41">
        <f>'H16.8.1～'!P17</f>
        <v>0</v>
      </c>
      <c r="E64" s="39" t="str">
        <f>IF(AND($O$3&lt;=4079,$A$64="○"),"△","")</f>
        <v/>
      </c>
      <c r="F64" s="41">
        <f>'H17.8.1～'!P17</f>
        <v>0</v>
      </c>
      <c r="G64" s="39" t="str">
        <f>IF(AND($O$3&lt;=4099,$A$64="○"),"△","")</f>
        <v/>
      </c>
      <c r="H64" s="41">
        <f>'H18.8.1～'!P17</f>
        <v>0</v>
      </c>
      <c r="I64" s="39" t="str">
        <f>IF(AND($O$3&lt;=4079,$A$64="○"),"△","")</f>
        <v/>
      </c>
      <c r="J64" s="41">
        <f>'H19.8.1～'!P17</f>
        <v>0</v>
      </c>
      <c r="K64" s="39" t="str">
        <f>IF(AND($O$3&lt;=4059,$A$64="○"),"△","")</f>
        <v/>
      </c>
      <c r="L64" s="41">
        <f>'H20.8.1～'!P17</f>
        <v>0</v>
      </c>
      <c r="M64" s="39" t="str">
        <f>IF(AND($O$3&lt;=4039,$A$64="○"),"△","")</f>
        <v/>
      </c>
      <c r="N64" s="41">
        <f>'H21.8.1～'!P17</f>
        <v>0</v>
      </c>
      <c r="O64" s="39" t="str">
        <f>IF(AND($O$3&lt;=3949,$A$64="○"),"△","")</f>
        <v/>
      </c>
      <c r="P64" s="41">
        <f>'H22.8.1～'!P17</f>
        <v>0</v>
      </c>
      <c r="Q64" s="39" t="str">
        <f>IF(AND($O$3&lt;=4649,$A$64="○"),"△","")</f>
        <v/>
      </c>
      <c r="R64" s="41">
        <f>'H23.8.1～'!P17</f>
        <v>0</v>
      </c>
      <c r="S64" s="39" t="str">
        <f>IF(AND($O$3&lt;=4639,$A$64="○"),"△","")</f>
        <v/>
      </c>
      <c r="T64" s="41">
        <f>'H24.8.1～'!P17</f>
        <v>0</v>
      </c>
      <c r="U64" s="39" t="str">
        <f>IF(AND($O$3&lt;=4609,$A$64="○"),"△","")</f>
        <v/>
      </c>
      <c r="V64" s="41">
        <f>'H25.8.1～'!P17</f>
        <v>0</v>
      </c>
      <c r="W64" s="39" t="str">
        <f>IF(AND($O$3&lt;=4599,$A$64="○"),"△","")</f>
        <v/>
      </c>
      <c r="X64" s="41">
        <f>'H26.8.1～ '!P17</f>
        <v>0</v>
      </c>
      <c r="Y64" s="39" t="str">
        <f>IF(AND($O$3&lt;=4599,$A$64="○"),"△","")</f>
        <v/>
      </c>
      <c r="Z64" s="41">
        <f>'H27.8.1～ '!P17</f>
        <v>0</v>
      </c>
      <c r="AA64" s="39" t="str">
        <f>IF(AND($O$3&lt;=4579,$A$64="○"),"△","")</f>
        <v/>
      </c>
      <c r="AB64" s="41">
        <f>'H28.8.1～'!P17</f>
        <v>0</v>
      </c>
      <c r="AC64" s="39" t="str">
        <f>IF(AND($O$3&lt;=4939,$A$64="○"),"△","")</f>
        <v/>
      </c>
      <c r="AD64" s="41">
        <f>'H29.8.1～'!P17</f>
        <v>0</v>
      </c>
      <c r="AE64" s="39" t="str">
        <f>IF(AND($O$3&lt;=4969,A64="○"),"△","")</f>
        <v/>
      </c>
      <c r="AF64" s="41">
        <f>'H30.8.1~'!P17</f>
        <v>0</v>
      </c>
      <c r="AG64" s="96" t="s">
        <v>43</v>
      </c>
    </row>
    <row r="65" spans="1:33" x14ac:dyDescent="0.4">
      <c r="A65" s="42" t="str">
        <f>IF($J$7="55歳","○","")</f>
        <v/>
      </c>
      <c r="B65" s="41" t="s">
        <v>572</v>
      </c>
      <c r="C65" s="39" t="str">
        <f>IF(AND(4160&lt;=$O$3,$O$3&lt;=12060,$A$65="○"),"△","")</f>
        <v/>
      </c>
      <c r="D65" s="41">
        <f>'H16.8.1～'!P18</f>
        <v>0</v>
      </c>
      <c r="E65" s="39" t="str">
        <f>IF(AND(4080&lt;=$O$3,$O$3&lt;=11830,$A$65="○"),"△","")</f>
        <v/>
      </c>
      <c r="F65" s="41">
        <f>'H17.8.1～'!P18</f>
        <v>0</v>
      </c>
      <c r="G65" s="39" t="str">
        <f>IF(AND(4100&lt;=$O$3,$O$3&lt;=11870,$A$65="○"),"△","")</f>
        <v/>
      </c>
      <c r="H65" s="41">
        <f>'H18.8.1～'!P18</f>
        <v>0</v>
      </c>
      <c r="I65" s="39" t="str">
        <f>IF(AND(4080&lt;=$O$3,$O$3&lt;=11820,$A$65="○"),"△","")</f>
        <v/>
      </c>
      <c r="J65" s="41">
        <f>'H19.8.1～'!P18</f>
        <v>0</v>
      </c>
      <c r="K65" s="39" t="str">
        <f>IF(AND(4060&lt;=$O$3,$O$3&lt;=11750,$A$65="○"),"△","")</f>
        <v/>
      </c>
      <c r="L65" s="41">
        <f>'H20.8.1～'!P18</f>
        <v>0</v>
      </c>
      <c r="M65" s="39" t="str">
        <f>IF(AND(4040&lt;=$O$3,$O$3&lt;=11680,$A$65="○"),"△","")</f>
        <v/>
      </c>
      <c r="N65" s="41">
        <f>'H21.8.1～'!P18</f>
        <v>0</v>
      </c>
      <c r="O65" s="39" t="str">
        <f>IF(AND(3950&lt;=$O$3,$O$3&lt;=11410,$A$65="○"),"△","")</f>
        <v/>
      </c>
      <c r="P65" s="41">
        <f>'H22.8.1～'!P18</f>
        <v>0</v>
      </c>
      <c r="Q65" s="39" t="str">
        <f>IF(AND(4650&lt;=$O$3,$O$3&lt;=11770,$A$65="○"),"△","")</f>
        <v/>
      </c>
      <c r="R65" s="41">
        <f>'H23.8.1～'!P18</f>
        <v>0</v>
      </c>
      <c r="S65" s="39" t="str">
        <f>IF(AND(4640&lt;=$O$3,$O$3&lt;=11740,$A$65="○"),"△","")</f>
        <v/>
      </c>
      <c r="T65" s="41">
        <f>'H24.8.1～'!P18</f>
        <v>0</v>
      </c>
      <c r="U65" s="39" t="str">
        <f>IF(AND(4610&lt;=$O$3,$O$3&lt;=11680,$A$65="○"),"△","")</f>
        <v/>
      </c>
      <c r="V65" s="41">
        <f>'H25.8.1～'!P18</f>
        <v>0</v>
      </c>
      <c r="W65" s="39" t="str">
        <f>IF(AND(4600&lt;=$O$3,$O$3&lt;=11650,$A$65="○"),"△","")</f>
        <v/>
      </c>
      <c r="X65" s="41">
        <f>'H26.8.1～ '!P18</f>
        <v>0</v>
      </c>
      <c r="Y65" s="39" t="str">
        <f>IF(AND(4600&lt;=$O$3,$O$3&lt;=11660,$A$65="○"),"△","")</f>
        <v/>
      </c>
      <c r="Z65" s="41">
        <f>'H27.8.1～ '!P18</f>
        <v>0</v>
      </c>
      <c r="AA65" s="39" t="str">
        <f>IF(AND(4580&lt;=$O$3,$O$3&lt;=11610,$A$65="○"),"△","")</f>
        <v/>
      </c>
      <c r="AB65" s="41">
        <f>'H28.8.1～'!P18</f>
        <v>0</v>
      </c>
      <c r="AC65" s="39" t="str">
        <f>IF(AND(4940&lt;=$O$3,$O$3&lt;=12140,$A$65="○"),"△","")</f>
        <v/>
      </c>
      <c r="AD65" s="41">
        <f>'H29.8.1～'!P18</f>
        <v>0</v>
      </c>
      <c r="AE65" s="39" t="str">
        <f>IF(AND(4970&lt;=$O$3,$O$3&lt;=12210,A65="○"),"△","")</f>
        <v/>
      </c>
      <c r="AF65" s="41">
        <f>'H30.8.1~'!P18</f>
        <v>0</v>
      </c>
      <c r="AG65" s="96"/>
    </row>
    <row r="66" spans="1:33" x14ac:dyDescent="0.4">
      <c r="A66" s="42" t="str">
        <f>IF($J$7="55歳","○","")</f>
        <v/>
      </c>
      <c r="B66" s="41" t="s">
        <v>571</v>
      </c>
      <c r="C66" s="39" t="str">
        <f>IF(AND(12061&lt;=$O$3,$O$3&lt;=15870,$A$66="○"),"△","")</f>
        <v/>
      </c>
      <c r="D66" s="41">
        <f>'H16.8.1～'!P19</f>
        <v>0</v>
      </c>
      <c r="E66" s="39" t="str">
        <f>IF(AND(11831&lt;=$O$3,$O$3&lt;=15560,$A$66="○"),"△","")</f>
        <v/>
      </c>
      <c r="F66" s="41">
        <f>'H17.8.1～'!P19</f>
        <v>0</v>
      </c>
      <c r="G66" s="39" t="str">
        <f>IF(AND(11871&lt;=$O$3,$O$3&lt;=15620,$A$66="○"),"△","")</f>
        <v/>
      </c>
      <c r="H66" s="41">
        <f>'H18.8.1～'!P19</f>
        <v>0</v>
      </c>
      <c r="I66" s="39" t="str">
        <f>IF(AND(11821&lt;=$O$3,$O$3&lt;=15550,$A$66="○"),"△","")</f>
        <v/>
      </c>
      <c r="J66" s="41">
        <f>'H19.8.1～'!P19</f>
        <v>0</v>
      </c>
      <c r="K66" s="39" t="str">
        <f>IF(AND(11751&lt;=$O$3,$O$3&lt;=15460,$A$66="○"),"△","")</f>
        <v/>
      </c>
      <c r="L66" s="41">
        <f>'H20.8.1～'!P19</f>
        <v>0</v>
      </c>
      <c r="M66" s="39" t="str">
        <f>IF(AND(11681&lt;=$O$3,$O$3&lt;=15370,$A$66="○"),"△","")</f>
        <v/>
      </c>
      <c r="N66" s="41">
        <f>'H21.8.1～'!P19</f>
        <v>0</v>
      </c>
      <c r="O66" s="39" t="str">
        <f>IF(AND(11411&lt;=$O$3,$O$3&lt;=15010,$A$66="○"),"△","")</f>
        <v/>
      </c>
      <c r="P66" s="41">
        <f>'H22.8.1～'!P19</f>
        <v>0</v>
      </c>
      <c r="Q66" s="39" t="str">
        <f>IF(AND(11771&lt;=$O$3,$O$3&lt;=15780,$A$66="○"),"△","")</f>
        <v/>
      </c>
      <c r="R66" s="41">
        <f>'H23.8.1～'!P19</f>
        <v>0</v>
      </c>
      <c r="S66" s="39" t="str">
        <f>IF(AND(11741&lt;=$O$3,$O$3&lt;=15740,$A$66="○"),"△","")</f>
        <v/>
      </c>
      <c r="T66" s="41">
        <f>'H24.8.1～'!P19</f>
        <v>0</v>
      </c>
      <c r="U66" s="39" t="str">
        <f>IF(AND(11681&lt;=$O$3,$O$3&lt;=15650,$A$66="○"),"△","")</f>
        <v/>
      </c>
      <c r="V66" s="41">
        <f>'H25.8.1～'!P19</f>
        <v>0</v>
      </c>
      <c r="W66" s="39" t="str">
        <f>IF(AND(11651&lt;=$O$3,$O$3&lt;=15610,$A$66="○"),"△","")</f>
        <v/>
      </c>
      <c r="X66" s="41">
        <f>'H26.8.1～ '!P19</f>
        <v>0</v>
      </c>
      <c r="Y66" s="39" t="str">
        <f>IF(AND(11661&lt;=$O$3,$O$3&lt;=15620,$A$66="○"),"△","")</f>
        <v/>
      </c>
      <c r="Z66" s="41">
        <f>'H27.8.1～ '!P19</f>
        <v>0</v>
      </c>
      <c r="AA66" s="39" t="str">
        <f>IF(AND(11611&lt;=$O$3,$O$3&lt;=15550,$A$66="○"),"△","")</f>
        <v/>
      </c>
      <c r="AB66" s="41">
        <f>'H28.8.1～'!P19</f>
        <v>0</v>
      </c>
      <c r="AC66" s="39" t="str">
        <f>IF(AND(12141&lt;=$O$3,$O$3&lt;=16410,$A$66="○"),"△","")</f>
        <v/>
      </c>
      <c r="AD66" s="41">
        <f>'H29.8.1～'!P19</f>
        <v>0</v>
      </c>
      <c r="AE66" s="39" t="str">
        <f>IF(AND(12211&lt;=$O$3,$O$3&lt;=16500,A66="○"),"△","")</f>
        <v/>
      </c>
      <c r="AF66" s="41">
        <f>'H30.8.1~'!P19</f>
        <v>0</v>
      </c>
      <c r="AG66" s="96"/>
    </row>
    <row r="67" spans="1:33" x14ac:dyDescent="0.4">
      <c r="A67" s="42" t="str">
        <f>IF($J$7="55歳","○","")</f>
        <v/>
      </c>
      <c r="B67" s="41" t="s">
        <v>570</v>
      </c>
      <c r="C67" s="39" t="str">
        <f>IF(AND($O$3&gt;=15871,$A$67="○"),"△","")</f>
        <v/>
      </c>
      <c r="D67" s="41">
        <f>'H16.8.1～'!P20</f>
        <v>7935</v>
      </c>
      <c r="E67" s="39" t="str">
        <f>IF(AND($O$3&gt;=15561,$A$67="○"),"△","")</f>
        <v/>
      </c>
      <c r="F67" s="41">
        <f>'H17.8.1～'!P20</f>
        <v>7780</v>
      </c>
      <c r="G67" s="39" t="str">
        <f>IF(AND($O$3&gt;=15621,$A$67="○"),"△","")</f>
        <v/>
      </c>
      <c r="H67" s="41">
        <f>'H18.8.1～'!P20</f>
        <v>7810</v>
      </c>
      <c r="I67" s="39" t="str">
        <f>IF(AND($O$3&gt;=15551,$A$67="○"),"△","")</f>
        <v/>
      </c>
      <c r="J67" s="41">
        <f>'H19.8.1～'!P20</f>
        <v>7775</v>
      </c>
      <c r="K67" s="39" t="str">
        <f>IF(AND($O$3&gt;=15461,$A$67="○"),"△","")</f>
        <v/>
      </c>
      <c r="L67" s="41">
        <f>'H20.8.1～'!P20</f>
        <v>7730</v>
      </c>
      <c r="M67" s="39" t="str">
        <f>IF(AND($O$3&gt;=15371,$A$67="○"),"△","")</f>
        <v/>
      </c>
      <c r="N67" s="41">
        <f>'H21.8.1～'!P20</f>
        <v>7685</v>
      </c>
      <c r="O67" s="39" t="str">
        <f>IF(AND($O$3&gt;=15011,$A$67="○"),"△","")</f>
        <v/>
      </c>
      <c r="P67" s="41">
        <f>'H22.8.1～'!P20</f>
        <v>7505</v>
      </c>
      <c r="Q67" s="39" t="str">
        <f>IF(AND($O$3&gt;=15781,$A$67="○"),"△","")</f>
        <v/>
      </c>
      <c r="R67" s="41">
        <f>'H23.8.1～'!P20</f>
        <v>7890</v>
      </c>
      <c r="S67" s="39" t="str">
        <f>IF(AND($O$3&gt;=15741,$A$67="○"),"△","")</f>
        <v/>
      </c>
      <c r="T67" s="41">
        <f>'H24.8.1～'!P20</f>
        <v>7870</v>
      </c>
      <c r="U67" s="39" t="str">
        <f>IF(AND($O$3&gt;=15651,$A$67="○"),"△","")</f>
        <v/>
      </c>
      <c r="V67" s="41">
        <f>'H25.8.1～'!P20</f>
        <v>7825</v>
      </c>
      <c r="W67" s="39" t="str">
        <f>IF(AND($O$3&gt;=15611,$A$67="○"),"△","")</f>
        <v/>
      </c>
      <c r="X67" s="41">
        <f>'H26.8.1～ '!P20</f>
        <v>7805</v>
      </c>
      <c r="Y67" s="39" t="str">
        <f>IF(AND($O$3&gt;=15621,$A$67="○"),"△","")</f>
        <v/>
      </c>
      <c r="Z67" s="41">
        <f>'H27.8.1～ '!P20</f>
        <v>7810</v>
      </c>
      <c r="AA67" s="39" t="str">
        <f>IF(AND($O$3&gt;=15551,$A$67="○"),"△","")</f>
        <v/>
      </c>
      <c r="AB67" s="41">
        <f>'H28.8.1～'!P20</f>
        <v>7775</v>
      </c>
      <c r="AC67" s="39" t="str">
        <f>IF(AND($O$3&gt;=16411,$A$67="○"),"△","")</f>
        <v/>
      </c>
      <c r="AD67" s="41">
        <f>'H29.8.1～'!P20</f>
        <v>8205</v>
      </c>
      <c r="AE67" s="39" t="str">
        <f>IF(AND($O$3&gt;=16501,A67="○"),"△","")</f>
        <v/>
      </c>
      <c r="AF67" s="41">
        <f>'H30.8.1~'!P20</f>
        <v>8250</v>
      </c>
      <c r="AG67" s="96"/>
    </row>
    <row r="68" spans="1:33" x14ac:dyDescent="0.4">
      <c r="A68" s="40" t="str">
        <f>IF($J$7="60歳","○","")</f>
        <v>○</v>
      </c>
      <c r="B68" s="38" t="s">
        <v>569</v>
      </c>
      <c r="C68" s="39" t="str">
        <f>IF(AND($O$3&lt;=4159,$A$68="○"),"△","")</f>
        <v>△</v>
      </c>
      <c r="D68" s="38">
        <f>'H16.8.1～'!P23</f>
        <v>0</v>
      </c>
      <c r="E68" s="39" t="str">
        <f>IF(AND($O$3&lt;=4079,$A$68="○"),"△","")</f>
        <v>△</v>
      </c>
      <c r="F68" s="38">
        <f>'H17.8.1～'!P23</f>
        <v>0</v>
      </c>
      <c r="G68" s="39" t="str">
        <f>IF(AND($O$3&lt;=4099,$A$68="○"),"△","")</f>
        <v>△</v>
      </c>
      <c r="H68" s="38">
        <f>'H18.8.1～'!P23</f>
        <v>0</v>
      </c>
      <c r="I68" s="39" t="str">
        <f>IF(AND($O$3&lt;=4079,$A$68="○"),"△","")</f>
        <v>△</v>
      </c>
      <c r="J68" s="38">
        <f>'H19.8.1～'!P23</f>
        <v>0</v>
      </c>
      <c r="K68" s="39" t="str">
        <f>IF(AND($O$3&lt;=4059,$A$68="○"),"△","")</f>
        <v>△</v>
      </c>
      <c r="L68" s="38">
        <f>'H20.8.1～'!P23</f>
        <v>0</v>
      </c>
      <c r="M68" s="39" t="str">
        <f>IF(AND($O$3&lt;=4039,$A$68="○"),"△","")</f>
        <v>△</v>
      </c>
      <c r="N68" s="38">
        <f>'H21.8.1～'!P23</f>
        <v>0</v>
      </c>
      <c r="O68" s="39" t="str">
        <f>IF(AND($O$3&lt;=3949,$A$68="○"),"△","")</f>
        <v>△</v>
      </c>
      <c r="P68" s="38">
        <f>'H22.8.1～'!P23</f>
        <v>0</v>
      </c>
      <c r="Q68" s="39" t="str">
        <f>IF(AND($O$3&lt;=4649,$A$68="○"),"△","")</f>
        <v>△</v>
      </c>
      <c r="R68" s="38">
        <f>'H23.8.1～'!P23</f>
        <v>0</v>
      </c>
      <c r="S68" s="39" t="str">
        <f>IF(AND($O$3&lt;=4639,$A$68="○"),"△","")</f>
        <v>△</v>
      </c>
      <c r="T68" s="38">
        <f>'H24.8.1～'!P23</f>
        <v>0</v>
      </c>
      <c r="U68" s="39" t="str">
        <f>IF(AND($O$3&lt;=4609,$A$68="○"),"△","")</f>
        <v>△</v>
      </c>
      <c r="V68" s="38">
        <f>'H25.8.1～'!P23</f>
        <v>0</v>
      </c>
      <c r="W68" s="39" t="str">
        <f>IF(AND($O$3&lt;=4599,$A$68="○"),"△","")</f>
        <v>△</v>
      </c>
      <c r="X68" s="38">
        <f>'H26.8.1～ '!P23</f>
        <v>0</v>
      </c>
      <c r="Y68" s="39" t="str">
        <f>IF(AND($O$3&lt;=4599,$A$68="○"),"△","")</f>
        <v>△</v>
      </c>
      <c r="Z68" s="38">
        <f>'H27.8.1～ '!P23</f>
        <v>0</v>
      </c>
      <c r="AA68" s="39" t="str">
        <f>IF(AND($O$3&lt;=4579,$A$68="○"),"△","")</f>
        <v>△</v>
      </c>
      <c r="AB68" s="38">
        <f>'H28.8.1～'!P23</f>
        <v>0</v>
      </c>
      <c r="AC68" s="39" t="str">
        <f>IF(AND($O$3&lt;=4939,$A$68="○"),"△","")</f>
        <v>△</v>
      </c>
      <c r="AD68" s="38">
        <f>'H29.8.1～'!P23</f>
        <v>0</v>
      </c>
      <c r="AE68" s="39" t="str">
        <f>IF(AND($O$3&lt;=4969,A68="○"),"△","")</f>
        <v>△</v>
      </c>
      <c r="AF68" s="38">
        <f>'H30.8.1~'!P23</f>
        <v>0</v>
      </c>
      <c r="AG68" s="96" t="s">
        <v>44</v>
      </c>
    </row>
    <row r="69" spans="1:33" x14ac:dyDescent="0.4">
      <c r="A69" s="40" t="str">
        <f>IF($J$7="60歳","○","")</f>
        <v>○</v>
      </c>
      <c r="B69" s="38" t="s">
        <v>568</v>
      </c>
      <c r="C69" s="39" t="str">
        <f>IF(AND(4160&lt;=$O$3,$O$3&lt;=10810,$A$69="○"),"△","")</f>
        <v/>
      </c>
      <c r="D69" s="38">
        <f>'H16.8.1～'!Q24</f>
        <v>0</v>
      </c>
      <c r="E69" s="39" t="str">
        <f>IF(AND(4080&lt;=$O$3,$O$3&lt;=10600,$A$69="○"),"△","")</f>
        <v/>
      </c>
      <c r="F69" s="38">
        <f>'H17.8.1～'!Q24</f>
        <v>0</v>
      </c>
      <c r="G69" s="39" t="str">
        <f>IF(AND(4100&lt;=$O$3,$O$3&lt;=10640,$A$69="○"),"△","")</f>
        <v/>
      </c>
      <c r="H69" s="38">
        <f>'H18.8.1～'!Q24</f>
        <v>0</v>
      </c>
      <c r="I69" s="39" t="str">
        <f>IF(AND(4080&lt;=$O$3,$O$3&lt;=10590,$A$69="○"),"△","")</f>
        <v/>
      </c>
      <c r="J69" s="38">
        <f>'H19.8.1～'!Q24</f>
        <v>0</v>
      </c>
      <c r="K69" s="39" t="str">
        <f>IF(AND(4060&lt;=$O$3,$O$3&lt;=10530,$A$69="○"),"△","")</f>
        <v/>
      </c>
      <c r="L69" s="38">
        <f>'H20.8.1～'!Q24</f>
        <v>0</v>
      </c>
      <c r="M69" s="39" t="str">
        <f>IF(AND(4040&lt;=$O$3,$O$3&lt;=10470,$A$69="○"),"△","")</f>
        <v/>
      </c>
      <c r="N69" s="38">
        <f>'H21.8.1～'!Q24</f>
        <v>0</v>
      </c>
      <c r="O69" s="39" t="str">
        <f>IF(AND(3950&lt;=$O$3,$O$3&lt;=10230,$A$69="○"),"△","")</f>
        <v/>
      </c>
      <c r="P69" s="38">
        <f>'H22.8.1～'!Q24</f>
        <v>0</v>
      </c>
      <c r="Q69" s="39" t="str">
        <f>IF(AND(4650&lt;=$O$3,$O$3&lt;=10600,$A$69="○"),"△","")</f>
        <v/>
      </c>
      <c r="R69" s="38">
        <f>'H23.8.1～'!Q24</f>
        <v>0</v>
      </c>
      <c r="S69" s="39" t="str">
        <f>IF(AND(4640&lt;=$O$3,$O$3&lt;=10570,$A$69="○"),"△","")</f>
        <v/>
      </c>
      <c r="T69" s="38">
        <f>'H24.8.1～'!Q24</f>
        <v>0</v>
      </c>
      <c r="U69" s="39" t="str">
        <f>IF(AND(4610&lt;=$O$3,$O$3&lt;=10510,$A$69="○"),"△","")</f>
        <v/>
      </c>
      <c r="V69" s="38">
        <f>'H25.8.1～'!Q24</f>
        <v>0</v>
      </c>
      <c r="W69" s="39" t="str">
        <f>IF(AND(4600&lt;=$O$3,$O$3&lt;=10490,$A$69="○"),"△","")</f>
        <v/>
      </c>
      <c r="X69" s="38">
        <f>'H26.8.1～ '!Q24</f>
        <v>0</v>
      </c>
      <c r="Y69" s="39" t="str">
        <f>IF(AND(4600&lt;=$O$3,$O$3&lt;=10500,$A$69="○"),"△","")</f>
        <v/>
      </c>
      <c r="Z69" s="38">
        <f>'H27.8.1～ '!Q24</f>
        <v>0</v>
      </c>
      <c r="AA69" s="39" t="str">
        <f>IF(AND(4580&lt;=$O$3,$O$3&lt;=10460,$A$69="○"),"△","")</f>
        <v/>
      </c>
      <c r="AB69" s="38">
        <f>'H28.8.1～'!Q24</f>
        <v>0</v>
      </c>
      <c r="AC69" s="39" t="str">
        <f>IF(AND(4940&lt;=$O$3,$O$3&lt;=10920,$A$69="○"),"△","")</f>
        <v/>
      </c>
      <c r="AD69" s="38">
        <f>'H29.8.1～'!Q24</f>
        <v>0</v>
      </c>
      <c r="AE69" s="39" t="str">
        <f>IF(AND(4970&lt;=$O$3,$O$3&lt;=10980,A69="○"),"△","")</f>
        <v/>
      </c>
      <c r="AF69" s="38">
        <f>'H30.8.1~'!Q24</f>
        <v>0</v>
      </c>
      <c r="AG69" s="96"/>
    </row>
    <row r="70" spans="1:33" x14ac:dyDescent="0.4">
      <c r="A70" s="40" t="str">
        <f>IF($J$7="60歳","○","")</f>
        <v>○</v>
      </c>
      <c r="B70" s="38" t="s">
        <v>567</v>
      </c>
      <c r="C70" s="39" t="str">
        <f>IF(AND(10811&lt;=$O$3,$O$3&lt;=15370,$A$70="○"),"△","")</f>
        <v/>
      </c>
      <c r="D70" s="38">
        <f>'H16.8.1～'!P26</f>
        <v>0</v>
      </c>
      <c r="E70" s="39" t="str">
        <f>IF(AND(10601&lt;=$O$3,$O$3&lt;=15070,$A$70="○"),"△","")</f>
        <v/>
      </c>
      <c r="F70" s="38">
        <f>'H17.8.1～'!P26</f>
        <v>0</v>
      </c>
      <c r="G70" s="39" t="str">
        <f>IF(AND(10641&lt;=$O$3,$O$3&lt;=15130,$A$70="○"),"△","")</f>
        <v/>
      </c>
      <c r="H70" s="38">
        <f>'H18.8.1～'!P26</f>
        <v>0</v>
      </c>
      <c r="I70" s="39" t="str">
        <f>IF(AND(10591&lt;=$O$3,$O$3&lt;=15060,$A$70="○"),"△","")</f>
        <v/>
      </c>
      <c r="J70" s="38">
        <f>'H19.8.1～'!P26</f>
        <v>0</v>
      </c>
      <c r="K70" s="39" t="str">
        <f>IF(AND(10531&lt;=$O$3,$O$3&lt;=14980,$A$70="○"),"△","")</f>
        <v/>
      </c>
      <c r="L70" s="38">
        <f>'H20.8.1～'!P26</f>
        <v>0</v>
      </c>
      <c r="M70" s="39" t="str">
        <f>IF(AND(10471&lt;=$O$3,$O$3&lt;=14890,$A$70="○"),"△","")</f>
        <v/>
      </c>
      <c r="N70" s="38">
        <f>'H21.8.1～'!P26</f>
        <v>0</v>
      </c>
      <c r="O70" s="39" t="str">
        <f>IF(AND(10231&lt;=$O$3,$O$3&lt;=14540,$A$70="○"),"△","")</f>
        <v/>
      </c>
      <c r="P70" s="38">
        <f>'H22.8.1～'!P26</f>
        <v>0</v>
      </c>
      <c r="Q70" s="39" t="str">
        <f>IF(AND(10601&lt;=$O$3,$O$3&lt;=15060,$A$70="○"),"△","")</f>
        <v/>
      </c>
      <c r="R70" s="38">
        <f>'H23.8.1～'!P26</f>
        <v>0</v>
      </c>
      <c r="S70" s="39" t="str">
        <f>IF(AND(10571&lt;=$O$3,$O$3&lt;=15020,$A$70="○"),"△","")</f>
        <v/>
      </c>
      <c r="T70" s="38">
        <f>'H24.8.1～'!P26</f>
        <v>0</v>
      </c>
      <c r="U70" s="39" t="str">
        <f>IF(AND(10511&lt;=$O$3,$O$3&lt;=14940,$A$70="○"),"△","")</f>
        <v/>
      </c>
      <c r="V70" s="38">
        <f>'H25.8.1～'!P26</f>
        <v>0</v>
      </c>
      <c r="W70" s="39" t="str">
        <f>IF(AND(10491&lt;=$O$3,$O$3&lt;=14910,$A$70="○"),"△","")</f>
        <v/>
      </c>
      <c r="X70" s="38">
        <f>'H26.8.1～ '!P26</f>
        <v>0</v>
      </c>
      <c r="Y70" s="39" t="str">
        <f>IF(AND(10501&lt;=$O$3,$O$3&lt;=14920,$A$70="○"),"△","")</f>
        <v/>
      </c>
      <c r="Z70" s="38">
        <f>'H27.8.1～ '!P26</f>
        <v>0</v>
      </c>
      <c r="AA70" s="39" t="str">
        <f>IF(AND(10461&lt;=$O$3,$O$3&lt;=14860,$A$70="○"),"△","")</f>
        <v/>
      </c>
      <c r="AB70" s="38">
        <f>'H28.8.1～'!P26</f>
        <v>0</v>
      </c>
      <c r="AC70" s="39" t="str">
        <f>IF(AND(10921&lt;=$O$3,$O$3&lt;=15650,$A$70="○"),"△","")</f>
        <v/>
      </c>
      <c r="AD70" s="38">
        <f>'H29.8.1～'!P26</f>
        <v>0</v>
      </c>
      <c r="AE70" s="39" t="str">
        <f>IF(AND(10981&lt;=$O$3,$O$3&lt;=15740,A70="○"),"△","")</f>
        <v/>
      </c>
      <c r="AF70" s="38">
        <f>'H30.8.1~'!P26</f>
        <v>0</v>
      </c>
      <c r="AG70" s="96"/>
    </row>
    <row r="71" spans="1:33" x14ac:dyDescent="0.4">
      <c r="A71" s="40" t="str">
        <f>IF($J$7="60歳","○","")</f>
        <v>○</v>
      </c>
      <c r="B71" s="38" t="s">
        <v>566</v>
      </c>
      <c r="C71" s="39" t="str">
        <f>IF(AND($O$3&gt;=15371,$A$71="○"),"△","")</f>
        <v/>
      </c>
      <c r="D71" s="38">
        <f>'H16.8.1～'!P27</f>
        <v>6916</v>
      </c>
      <c r="E71" s="39" t="str">
        <f>IF(AND($O$3&gt;=15071,$A$71="○"),"△","")</f>
        <v/>
      </c>
      <c r="F71" s="38">
        <f>'H17.8.1～'!P27</f>
        <v>6781</v>
      </c>
      <c r="G71" s="39" t="str">
        <f>IF(AND($O$3&gt;=15131,$A$71="○"),"△","")</f>
        <v/>
      </c>
      <c r="H71" s="38">
        <f>'H18.8.1～'!P27</f>
        <v>6808</v>
      </c>
      <c r="I71" s="39" t="str">
        <f>IF(AND($O$3&gt;=15061,$A$71="○"),"△","")</f>
        <v/>
      </c>
      <c r="J71" s="38">
        <f>'H19.8.1～'!P27</f>
        <v>6777</v>
      </c>
      <c r="K71" s="39" t="str">
        <f>IF(AND($O$3&gt;=14981,$A$71="○"),"△","")</f>
        <v/>
      </c>
      <c r="L71" s="38">
        <f>'H20.8.1～'!P27</f>
        <v>6741</v>
      </c>
      <c r="M71" s="39" t="str">
        <f>IF(AND($O$3&gt;=14891,$A$71="○"),"△","")</f>
        <v/>
      </c>
      <c r="N71" s="38">
        <f>'H21.8.1～'!P27</f>
        <v>6700</v>
      </c>
      <c r="O71" s="39" t="str">
        <f>IF(AND($O$3&gt;=14541,$A$71="○"),"△","")</f>
        <v/>
      </c>
      <c r="P71" s="38">
        <f>'H22.8.1～'!P27</f>
        <v>6543</v>
      </c>
      <c r="Q71" s="39" t="str">
        <f>IF(AND($O$3&gt;=15061,$A$71="○"),"△","")</f>
        <v/>
      </c>
      <c r="R71" s="38">
        <f>'H23.8.1～'!P27</f>
        <v>6777</v>
      </c>
      <c r="S71" s="39" t="str">
        <f>IF(AND($O$3&gt;=15021,$A$71="○"),"△","")</f>
        <v/>
      </c>
      <c r="T71" s="38">
        <f>'H24.8.1～'!P27</f>
        <v>6759</v>
      </c>
      <c r="U71" s="39" t="str">
        <f>IF(AND($O$3&gt;=14941,$A$71="○"),"△","")</f>
        <v/>
      </c>
      <c r="V71" s="38">
        <f>'H25.8.1～'!P27</f>
        <v>6723</v>
      </c>
      <c r="W71" s="39" t="str">
        <f>IF(AND($O$3&gt;=14911,$A$71="○"),"△","")</f>
        <v/>
      </c>
      <c r="X71" s="38">
        <f>'H26.8.1～ '!P27</f>
        <v>6709</v>
      </c>
      <c r="Y71" s="39" t="str">
        <f>IF(AND($O$3&gt;=14921,$A$71="○"),"△","")</f>
        <v/>
      </c>
      <c r="Z71" s="38">
        <f>'H27.8.1～ '!P27</f>
        <v>6714</v>
      </c>
      <c r="AA71" s="39" t="str">
        <f>IF(AND($O$3&gt;=14861,$A$71="○"),"△","")</f>
        <v/>
      </c>
      <c r="AB71" s="38">
        <f>'H28.8.1～'!P27</f>
        <v>6687</v>
      </c>
      <c r="AC71" s="39" t="str">
        <f>IF(AND($O$3&gt;=15651,$A$71="○"),"△","")</f>
        <v/>
      </c>
      <c r="AD71" s="38">
        <f>'H29.8.1～'!P27</f>
        <v>7042</v>
      </c>
      <c r="AE71" s="39" t="str">
        <f>IF(AND($O$3&gt;=15741,A71="○"),"△","")</f>
        <v/>
      </c>
      <c r="AF71" s="38">
        <f>'H30.8.1~'!P27</f>
        <v>7083</v>
      </c>
      <c r="AG71" s="96"/>
    </row>
  </sheetData>
  <mergeCells count="49">
    <mergeCell ref="H16:I16"/>
    <mergeCell ref="H17:I17"/>
    <mergeCell ref="G15:G17"/>
    <mergeCell ref="J17:K17"/>
    <mergeCell ref="J16:K16"/>
    <mergeCell ref="J15:K15"/>
    <mergeCell ref="G12:G14"/>
    <mergeCell ref="A2:A7"/>
    <mergeCell ref="H15:I15"/>
    <mergeCell ref="H7:I7"/>
    <mergeCell ref="G9:G11"/>
    <mergeCell ref="J9:K9"/>
    <mergeCell ref="H11:I11"/>
    <mergeCell ref="H9:I9"/>
    <mergeCell ref="H10:I10"/>
    <mergeCell ref="H13:I13"/>
    <mergeCell ref="H12:I12"/>
    <mergeCell ref="AG36:AG39"/>
    <mergeCell ref="H18:I18"/>
    <mergeCell ref="J18:K18"/>
    <mergeCell ref="AG68:AG71"/>
    <mergeCell ref="O2:P2"/>
    <mergeCell ref="AG44:AG47"/>
    <mergeCell ref="AG48:AG51"/>
    <mergeCell ref="L5:M5"/>
    <mergeCell ref="AG56:AG59"/>
    <mergeCell ref="AG60:AG63"/>
    <mergeCell ref="AG64:AG67"/>
    <mergeCell ref="AG40:AG43"/>
    <mergeCell ref="J14:K14"/>
    <mergeCell ref="J13:K13"/>
    <mergeCell ref="J12:K12"/>
    <mergeCell ref="H14:I14"/>
    <mergeCell ref="L18:M18"/>
    <mergeCell ref="L1:M1"/>
    <mergeCell ref="J3:K3"/>
    <mergeCell ref="J2:K2"/>
    <mergeCell ref="H4:I4"/>
    <mergeCell ref="H6:I6"/>
    <mergeCell ref="L4:M4"/>
    <mergeCell ref="J4:K4"/>
    <mergeCell ref="J6:K6"/>
    <mergeCell ref="J5:K5"/>
    <mergeCell ref="H2:I2"/>
    <mergeCell ref="H3:I3"/>
    <mergeCell ref="H5:I5"/>
    <mergeCell ref="J7:K7"/>
    <mergeCell ref="J11:K11"/>
    <mergeCell ref="J10:K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defaultRowHeight="18.75" x14ac:dyDescent="0.4"/>
  <cols>
    <col min="6" max="6" width="11.5" customWidth="1"/>
    <col min="7" max="7" width="9.375" bestFit="1" customWidth="1"/>
    <col min="9" max="9" width="1.875" customWidth="1"/>
    <col min="15" max="15" width="11.5" customWidth="1"/>
  </cols>
  <sheetData>
    <row r="1" spans="1:16" x14ac:dyDescent="0.4">
      <c r="A1" t="s">
        <v>0</v>
      </c>
      <c r="C1" s="1" t="s">
        <v>7</v>
      </c>
      <c r="D1">
        <f>計算用!O3</f>
        <v>0</v>
      </c>
      <c r="E1" s="1"/>
    </row>
    <row r="2" spans="1:16" x14ac:dyDescent="0.4">
      <c r="C2" s="1"/>
      <c r="E2" s="1"/>
    </row>
    <row r="3" spans="1:16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</row>
    <row r="4" spans="1:16" x14ac:dyDescent="0.4">
      <c r="A4" s="91" t="s">
        <v>1</v>
      </c>
      <c r="B4" s="91"/>
      <c r="J4" s="91" t="s">
        <v>1</v>
      </c>
      <c r="K4" s="91"/>
    </row>
    <row r="5" spans="1:16" x14ac:dyDescent="0.4">
      <c r="A5" s="101" t="s">
        <v>2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2</v>
      </c>
      <c r="K5" s="101"/>
      <c r="L5" s="102" t="s">
        <v>6</v>
      </c>
      <c r="M5" s="102"/>
      <c r="N5" s="102"/>
      <c r="O5" s="102"/>
      <c r="P5">
        <f>ROUNDDOWN($D$1*0.8,0)</f>
        <v>0</v>
      </c>
    </row>
    <row r="6" spans="1:16" x14ac:dyDescent="0.4">
      <c r="A6" s="101" t="s">
        <v>3</v>
      </c>
      <c r="B6" s="101"/>
      <c r="C6" s="102" t="s">
        <v>335</v>
      </c>
      <c r="D6" s="102"/>
      <c r="E6" s="102"/>
      <c r="F6" s="102"/>
      <c r="G6">
        <f>ROUNDDOWN(0.8*$D$1-0.3*(($D$1-4970)/(12220-4970))*$D$1,0)</f>
        <v>0</v>
      </c>
      <c r="J6" s="101" t="s">
        <v>26</v>
      </c>
      <c r="K6" s="101"/>
      <c r="L6" s="102" t="s">
        <v>340</v>
      </c>
      <c r="M6" s="102"/>
      <c r="N6" s="102"/>
      <c r="O6" s="102"/>
      <c r="P6">
        <f>ROUNDDOWN(0.8*$D$1-0.3*(($D$1-4970)/(12210-4970))*$D$1,0)</f>
        <v>0</v>
      </c>
    </row>
    <row r="7" spans="1:16" x14ac:dyDescent="0.4">
      <c r="A7" s="101" t="s">
        <v>4</v>
      </c>
      <c r="B7" s="101"/>
      <c r="C7" s="102" t="s">
        <v>8</v>
      </c>
      <c r="D7" s="102"/>
      <c r="E7" s="102"/>
      <c r="F7" s="102"/>
      <c r="G7">
        <f>ROUNDDOWN(0.5*$D$1,0)</f>
        <v>0</v>
      </c>
      <c r="J7" s="101" t="s">
        <v>27</v>
      </c>
      <c r="K7" s="101"/>
      <c r="L7" s="102" t="s">
        <v>8</v>
      </c>
      <c r="M7" s="102"/>
      <c r="N7" s="102"/>
      <c r="O7" s="102"/>
      <c r="P7">
        <f>ROUNDDOWN(0.5*$D$1,0)</f>
        <v>0</v>
      </c>
    </row>
    <row r="8" spans="1:16" x14ac:dyDescent="0.4">
      <c r="A8" s="101" t="s">
        <v>5</v>
      </c>
      <c r="B8" s="101"/>
      <c r="C8" s="102" t="s">
        <v>9</v>
      </c>
      <c r="D8" s="102"/>
      <c r="E8" s="102"/>
      <c r="F8" s="102"/>
      <c r="G8">
        <f>6755</f>
        <v>6755</v>
      </c>
      <c r="J8" s="101" t="s">
        <v>28</v>
      </c>
      <c r="K8" s="101"/>
      <c r="L8" s="102" t="s">
        <v>29</v>
      </c>
      <c r="M8" s="102"/>
      <c r="N8" s="102"/>
      <c r="O8" s="102"/>
      <c r="P8">
        <f>6750</f>
        <v>6750</v>
      </c>
    </row>
    <row r="9" spans="1:16" ht="9.9499999999999993" customHeight="1" x14ac:dyDescent="0.4"/>
    <row r="10" spans="1:16" x14ac:dyDescent="0.4">
      <c r="A10" s="91" t="s">
        <v>10</v>
      </c>
      <c r="B10" s="91"/>
      <c r="J10" s="91" t="s">
        <v>10</v>
      </c>
      <c r="K10" s="91"/>
    </row>
    <row r="11" spans="1:16" x14ac:dyDescent="0.4">
      <c r="A11" s="101" t="s">
        <v>2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2</v>
      </c>
      <c r="K11" s="101"/>
      <c r="L11" s="102" t="s">
        <v>6</v>
      </c>
      <c r="M11" s="102"/>
      <c r="N11" s="102"/>
      <c r="O11" s="102"/>
      <c r="P11">
        <f>ROUNDDOWN($D$1*0.8,0)</f>
        <v>0</v>
      </c>
    </row>
    <row r="12" spans="1:16" x14ac:dyDescent="0.4">
      <c r="A12" s="101" t="s">
        <v>3</v>
      </c>
      <c r="B12" s="101"/>
      <c r="C12" s="103" t="s">
        <v>334</v>
      </c>
      <c r="D12" s="104"/>
      <c r="E12" s="104"/>
      <c r="F12" s="105"/>
      <c r="G12">
        <f>ROUNDDOWN(0.8*$D$1-0.3*(($D$1-4970)/(12220-4970))*$D$1,0)</f>
        <v>0</v>
      </c>
      <c r="J12" s="101" t="s">
        <v>26</v>
      </c>
      <c r="K12" s="101"/>
      <c r="L12" s="102" t="s">
        <v>340</v>
      </c>
      <c r="M12" s="102"/>
      <c r="N12" s="102"/>
      <c r="O12" s="102"/>
      <c r="P12">
        <f>ROUNDDOWN(0.8*$D$1-0.3*(($D$1-4970)/(12210-4970))*$D$1,0)</f>
        <v>0</v>
      </c>
    </row>
    <row r="13" spans="1:16" x14ac:dyDescent="0.4">
      <c r="A13" s="101" t="s">
        <v>11</v>
      </c>
      <c r="B13" s="101"/>
      <c r="C13" s="102" t="s">
        <v>8</v>
      </c>
      <c r="D13" s="102"/>
      <c r="E13" s="102"/>
      <c r="F13" s="102"/>
      <c r="G13">
        <f>ROUNDDOWN(0.5*$D$1,0)</f>
        <v>0</v>
      </c>
      <c r="J13" s="101" t="s">
        <v>30</v>
      </c>
      <c r="K13" s="101"/>
      <c r="L13" s="102" t="s">
        <v>8</v>
      </c>
      <c r="M13" s="102"/>
      <c r="N13" s="102"/>
      <c r="O13" s="102"/>
      <c r="P13">
        <f>ROUNDDOWN(0.5*$D$1,0)</f>
        <v>0</v>
      </c>
    </row>
    <row r="14" spans="1:16" x14ac:dyDescent="0.4">
      <c r="A14" s="101" t="s">
        <v>12</v>
      </c>
      <c r="B14" s="101"/>
      <c r="C14" s="102" t="s">
        <v>13</v>
      </c>
      <c r="D14" s="102"/>
      <c r="E14" s="102"/>
      <c r="F14" s="102"/>
      <c r="G14">
        <f>7505</f>
        <v>7505</v>
      </c>
      <c r="J14" s="101" t="s">
        <v>31</v>
      </c>
      <c r="K14" s="101"/>
      <c r="L14" s="102" t="s">
        <v>32</v>
      </c>
      <c r="M14" s="102"/>
      <c r="N14" s="102"/>
      <c r="O14" s="102"/>
      <c r="P14">
        <f>7495</f>
        <v>7495</v>
      </c>
    </row>
    <row r="15" spans="1:16" ht="9.9499999999999993" customHeight="1" x14ac:dyDescent="0.4"/>
    <row r="16" spans="1:16" x14ac:dyDescent="0.4">
      <c r="A16" s="91" t="s">
        <v>14</v>
      </c>
      <c r="B16" s="91"/>
      <c r="J16" s="91" t="s">
        <v>14</v>
      </c>
      <c r="K16" s="91"/>
    </row>
    <row r="17" spans="1:17" x14ac:dyDescent="0.4">
      <c r="A17" s="101" t="s">
        <v>2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2</v>
      </c>
      <c r="K17" s="101"/>
      <c r="L17" s="102" t="s">
        <v>6</v>
      </c>
      <c r="M17" s="102"/>
      <c r="N17" s="102"/>
      <c r="O17" s="102"/>
      <c r="P17">
        <f>ROUNDDOWN($D$1*0.8,0)</f>
        <v>0</v>
      </c>
    </row>
    <row r="18" spans="1:17" x14ac:dyDescent="0.4">
      <c r="A18" s="101" t="s">
        <v>3</v>
      </c>
      <c r="B18" s="101"/>
      <c r="C18" s="102" t="s">
        <v>334</v>
      </c>
      <c r="D18" s="102"/>
      <c r="E18" s="102"/>
      <c r="F18" s="102"/>
      <c r="G18">
        <f>ROUNDDOWN(0.8*$D$1-0.3*(($D$1-4970)/(12220-4970))*$D$1,0)</f>
        <v>0</v>
      </c>
      <c r="J18" s="101" t="s">
        <v>26</v>
      </c>
      <c r="K18" s="101"/>
      <c r="L18" s="102" t="s">
        <v>341</v>
      </c>
      <c r="M18" s="102"/>
      <c r="N18" s="102"/>
      <c r="O18" s="102"/>
      <c r="P18">
        <f>ROUNDDOWN(0.8*$D$1-0.3*(($D$1-4970)/(12210-4970))*$D$1,0)</f>
        <v>0</v>
      </c>
    </row>
    <row r="19" spans="1:17" x14ac:dyDescent="0.4">
      <c r="A19" s="101" t="s">
        <v>15</v>
      </c>
      <c r="B19" s="101"/>
      <c r="C19" s="102" t="s">
        <v>8</v>
      </c>
      <c r="D19" s="102"/>
      <c r="E19" s="102"/>
      <c r="F19" s="102"/>
      <c r="G19">
        <f>ROUNDDOWN(0.5*$D$1,0)</f>
        <v>0</v>
      </c>
      <c r="J19" s="101" t="s">
        <v>33</v>
      </c>
      <c r="K19" s="101"/>
      <c r="L19" s="102" t="s">
        <v>8</v>
      </c>
      <c r="M19" s="102"/>
      <c r="N19" s="102"/>
      <c r="O19" s="102"/>
      <c r="P19">
        <f>ROUNDDOWN(0.5*$D$1,0)</f>
        <v>0</v>
      </c>
    </row>
    <row r="20" spans="1:17" x14ac:dyDescent="0.4">
      <c r="A20" s="101" t="s">
        <v>16</v>
      </c>
      <c r="B20" s="101"/>
      <c r="C20" s="102" t="s">
        <v>17</v>
      </c>
      <c r="D20" s="102"/>
      <c r="E20" s="102"/>
      <c r="F20" s="102"/>
      <c r="G20">
        <f>8255</f>
        <v>8255</v>
      </c>
      <c r="J20" s="101" t="s">
        <v>34</v>
      </c>
      <c r="K20" s="101"/>
      <c r="L20" s="102" t="s">
        <v>35</v>
      </c>
      <c r="M20" s="102"/>
      <c r="N20" s="102"/>
      <c r="O20" s="102"/>
      <c r="P20">
        <f>8250</f>
        <v>8250</v>
      </c>
    </row>
    <row r="21" spans="1:17" ht="9.9499999999999993" customHeight="1" x14ac:dyDescent="0.4"/>
    <row r="22" spans="1:17" x14ac:dyDescent="0.4">
      <c r="A22" s="91" t="s">
        <v>18</v>
      </c>
      <c r="B22" s="91"/>
      <c r="J22" s="91" t="s">
        <v>18</v>
      </c>
      <c r="K22" s="91"/>
    </row>
    <row r="23" spans="1:17" x14ac:dyDescent="0.4">
      <c r="A23" s="101" t="s">
        <v>2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01" t="s">
        <v>2</v>
      </c>
      <c r="K23" s="101"/>
      <c r="L23" s="102" t="s">
        <v>6</v>
      </c>
      <c r="M23" s="102"/>
      <c r="N23" s="102"/>
      <c r="O23" s="102"/>
      <c r="P23">
        <f>ROUNDDOWN($D$1*0.8,0)</f>
        <v>0</v>
      </c>
    </row>
    <row r="24" spans="1:17" x14ac:dyDescent="0.4">
      <c r="A24" s="106" t="s">
        <v>19</v>
      </c>
      <c r="B24" s="107"/>
      <c r="C24" s="102" t="s">
        <v>336</v>
      </c>
      <c r="D24" s="102"/>
      <c r="E24" s="102"/>
      <c r="F24" s="102"/>
      <c r="G24">
        <f>ROUNDDOWN(0.8*$D$1-0.35*(($D$1-4970)/(10990-4970))*$D$1,0)</f>
        <v>0</v>
      </c>
      <c r="H24" s="91">
        <f>IF(G24&lt;G25,G24,G25)</f>
        <v>0</v>
      </c>
      <c r="J24" s="106" t="s">
        <v>36</v>
      </c>
      <c r="K24" s="107"/>
      <c r="L24" s="102" t="s">
        <v>339</v>
      </c>
      <c r="M24" s="102"/>
      <c r="N24" s="102"/>
      <c r="O24" s="102"/>
      <c r="P24">
        <f>ROUNDDOWN(0.8*$D$1-0.35*(($D$1-4970)/(10980-4970))*$D$1,0)</f>
        <v>0</v>
      </c>
      <c r="Q24" s="91">
        <f>IF(P24&lt;P25,P24,P25)</f>
        <v>0</v>
      </c>
    </row>
    <row r="25" spans="1:17" x14ac:dyDescent="0.4">
      <c r="A25" s="108"/>
      <c r="B25" s="109"/>
      <c r="C25" s="103" t="s">
        <v>337</v>
      </c>
      <c r="D25" s="104"/>
      <c r="E25" s="104"/>
      <c r="F25" s="105"/>
      <c r="G25">
        <f>ROUNDDOWN(0.05*D1+(10990*0.4),0)</f>
        <v>4396</v>
      </c>
      <c r="H25" s="91"/>
      <c r="J25" s="108"/>
      <c r="K25" s="109"/>
      <c r="L25" s="103" t="s">
        <v>338</v>
      </c>
      <c r="M25" s="104"/>
      <c r="N25" s="104"/>
      <c r="O25" s="105"/>
      <c r="P25">
        <f>ROUNDDOWN(0.05*D1+(10980*0.4),0)</f>
        <v>4392</v>
      </c>
      <c r="Q25" s="91"/>
    </row>
    <row r="26" spans="1:17" x14ac:dyDescent="0.4">
      <c r="A26" s="101" t="s">
        <v>20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37</v>
      </c>
      <c r="K26" s="101"/>
      <c r="L26" s="102" t="s">
        <v>21</v>
      </c>
      <c r="M26" s="102"/>
      <c r="N26" s="102"/>
      <c r="O26" s="102"/>
      <c r="P26">
        <f>ROUNDDOWN(0.45*$D$1,0)</f>
        <v>0</v>
      </c>
    </row>
    <row r="27" spans="1:17" x14ac:dyDescent="0.4">
      <c r="A27" s="101" t="s">
        <v>22</v>
      </c>
      <c r="B27" s="101"/>
      <c r="C27" s="102" t="s">
        <v>23</v>
      </c>
      <c r="D27" s="102"/>
      <c r="E27" s="102"/>
      <c r="F27" s="102"/>
      <c r="G27">
        <f>7087</f>
        <v>7087</v>
      </c>
      <c r="J27" s="101" t="s">
        <v>38</v>
      </c>
      <c r="K27" s="101"/>
      <c r="L27" s="102" t="s">
        <v>39</v>
      </c>
      <c r="M27" s="102"/>
      <c r="N27" s="102"/>
      <c r="O27" s="102"/>
      <c r="P27">
        <f>7083</f>
        <v>7083</v>
      </c>
    </row>
  </sheetData>
  <mergeCells count="78">
    <mergeCell ref="Q24:Q25"/>
    <mergeCell ref="L25:O25"/>
    <mergeCell ref="J26:K26"/>
    <mergeCell ref="L26:O26"/>
    <mergeCell ref="J27:K27"/>
    <mergeCell ref="L27:O27"/>
    <mergeCell ref="J24:K25"/>
    <mergeCell ref="L24:O24"/>
    <mergeCell ref="J20:K20"/>
    <mergeCell ref="L20:O20"/>
    <mergeCell ref="J22:K22"/>
    <mergeCell ref="J23:K23"/>
    <mergeCell ref="L23:O23"/>
    <mergeCell ref="J19:K19"/>
    <mergeCell ref="L19:O19"/>
    <mergeCell ref="J12:K12"/>
    <mergeCell ref="L12:O12"/>
    <mergeCell ref="J13:K13"/>
    <mergeCell ref="L13:O13"/>
    <mergeCell ref="J14:K14"/>
    <mergeCell ref="L14:O14"/>
    <mergeCell ref="J16:K16"/>
    <mergeCell ref="J17:K17"/>
    <mergeCell ref="L17:O17"/>
    <mergeCell ref="J18:K18"/>
    <mergeCell ref="L18:O18"/>
    <mergeCell ref="L7:O7"/>
    <mergeCell ref="J8:K8"/>
    <mergeCell ref="L8:O8"/>
    <mergeCell ref="J10:K10"/>
    <mergeCell ref="J11:K11"/>
    <mergeCell ref="L11:O11"/>
    <mergeCell ref="H24:H25"/>
    <mergeCell ref="A3:F3"/>
    <mergeCell ref="J3:O3"/>
    <mergeCell ref="J4:K4"/>
    <mergeCell ref="J5:K5"/>
    <mergeCell ref="L5:O5"/>
    <mergeCell ref="J6:K6"/>
    <mergeCell ref="L6:O6"/>
    <mergeCell ref="J7:K7"/>
    <mergeCell ref="A20:B20"/>
    <mergeCell ref="C20:F20"/>
    <mergeCell ref="A22:B22"/>
    <mergeCell ref="A23:B23"/>
    <mergeCell ref="C23:F23"/>
    <mergeCell ref="A16:B16"/>
    <mergeCell ref="A17:B17"/>
    <mergeCell ref="A26:B26"/>
    <mergeCell ref="C26:F26"/>
    <mergeCell ref="A27:B27"/>
    <mergeCell ref="C27:F27"/>
    <mergeCell ref="A24:B25"/>
    <mergeCell ref="C25:F25"/>
    <mergeCell ref="C24:F24"/>
    <mergeCell ref="C17:F17"/>
    <mergeCell ref="A18:B18"/>
    <mergeCell ref="C18:F18"/>
    <mergeCell ref="A19:B19"/>
    <mergeCell ref="C19:F19"/>
    <mergeCell ref="A12:B12"/>
    <mergeCell ref="C12:F12"/>
    <mergeCell ref="A13:B13"/>
    <mergeCell ref="C13:F13"/>
    <mergeCell ref="A14:B14"/>
    <mergeCell ref="C14:F14"/>
    <mergeCell ref="C7:F7"/>
    <mergeCell ref="C6:F6"/>
    <mergeCell ref="C5:F5"/>
    <mergeCell ref="A10:B10"/>
    <mergeCell ref="A11:B11"/>
    <mergeCell ref="C11:F11"/>
    <mergeCell ref="C8:F8"/>
    <mergeCell ref="A4:B4"/>
    <mergeCell ref="A8:B8"/>
    <mergeCell ref="A7:B7"/>
    <mergeCell ref="A6:B6"/>
    <mergeCell ref="A5:B5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120</v>
      </c>
      <c r="C1" s="4" t="s">
        <v>7</v>
      </c>
      <c r="D1">
        <f>計算用!O3</f>
        <v>0</v>
      </c>
      <c r="E1" s="4"/>
    </row>
    <row r="2" spans="1:18" x14ac:dyDescent="0.4">
      <c r="C2" s="4"/>
      <c r="E2" s="4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5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121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121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122</v>
      </c>
      <c r="B6" s="101"/>
      <c r="C6" s="102" t="s">
        <v>343</v>
      </c>
      <c r="D6" s="102"/>
      <c r="E6" s="102"/>
      <c r="F6" s="102"/>
      <c r="G6">
        <f>ROUNDDOWN(0.8*$D$1-0.3*(($D$1-4940)/(12150-4940))*$D$1,0)</f>
        <v>0</v>
      </c>
      <c r="J6" s="101" t="s">
        <v>136</v>
      </c>
      <c r="K6" s="101"/>
      <c r="L6" s="102" t="s">
        <v>346</v>
      </c>
      <c r="M6" s="102"/>
      <c r="N6" s="102"/>
      <c r="O6" s="102"/>
      <c r="P6">
        <f>ROUNDDOWN((-1*D1*D1+24140*D1)/24000,0)</f>
        <v>0</v>
      </c>
      <c r="R6">
        <f t="shared" ref="R6:R27" si="0">G6-P6</f>
        <v>0</v>
      </c>
    </row>
    <row r="7" spans="1:18" x14ac:dyDescent="0.4">
      <c r="A7" s="101" t="s">
        <v>123</v>
      </c>
      <c r="B7" s="101"/>
      <c r="C7" s="102" t="s">
        <v>8</v>
      </c>
      <c r="D7" s="102"/>
      <c r="E7" s="102"/>
      <c r="F7" s="102"/>
      <c r="G7">
        <f>ROUNDDOWN(0.5*$D$1,0)</f>
        <v>0</v>
      </c>
      <c r="J7" s="101" t="s">
        <v>137</v>
      </c>
      <c r="K7" s="101"/>
      <c r="L7" s="102" t="s">
        <v>8</v>
      </c>
      <c r="M7" s="102"/>
      <c r="N7" s="102"/>
      <c r="O7" s="102"/>
      <c r="P7">
        <f>ROUNDDOWN(0.5*$D$1,0)</f>
        <v>0</v>
      </c>
      <c r="R7">
        <f t="shared" si="0"/>
        <v>0</v>
      </c>
    </row>
    <row r="8" spans="1:18" x14ac:dyDescent="0.4">
      <c r="A8" s="101" t="s">
        <v>124</v>
      </c>
      <c r="B8" s="101"/>
      <c r="C8" s="102" t="s">
        <v>125</v>
      </c>
      <c r="D8" s="102"/>
      <c r="E8" s="102"/>
      <c r="F8" s="102"/>
      <c r="G8">
        <f>6715</f>
        <v>6715</v>
      </c>
      <c r="J8" s="101" t="s">
        <v>138</v>
      </c>
      <c r="K8" s="101"/>
      <c r="L8" s="102" t="s">
        <v>139</v>
      </c>
      <c r="M8" s="102"/>
      <c r="N8" s="102"/>
      <c r="O8" s="102"/>
      <c r="P8">
        <f>6710</f>
        <v>6710</v>
      </c>
      <c r="R8">
        <f t="shared" si="0"/>
        <v>5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121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121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122</v>
      </c>
      <c r="B12" s="101"/>
      <c r="C12" s="102" t="s">
        <v>342</v>
      </c>
      <c r="D12" s="102"/>
      <c r="E12" s="102"/>
      <c r="F12" s="102"/>
      <c r="G12">
        <f>ROUNDDOWN(0.8*$D$1-0.3*(($D$1-4940)/(12150-4940))*$D$1,0)</f>
        <v>0</v>
      </c>
      <c r="J12" s="101" t="s">
        <v>136</v>
      </c>
      <c r="K12" s="101"/>
      <c r="L12" s="102" t="s">
        <v>346</v>
      </c>
      <c r="M12" s="102"/>
      <c r="N12" s="102"/>
      <c r="O12" s="102"/>
      <c r="P12">
        <f>ROUNDDOWN((-1*D1*D1+24140*D1)/24000,0)</f>
        <v>0</v>
      </c>
      <c r="R12">
        <f t="shared" si="0"/>
        <v>0</v>
      </c>
    </row>
    <row r="13" spans="1:18" x14ac:dyDescent="0.4">
      <c r="A13" s="101" t="s">
        <v>126</v>
      </c>
      <c r="B13" s="101"/>
      <c r="C13" s="102" t="s">
        <v>8</v>
      </c>
      <c r="D13" s="102"/>
      <c r="E13" s="102"/>
      <c r="F13" s="102"/>
      <c r="G13">
        <f>ROUNDDOWN(0.5*$D$1,0)</f>
        <v>0</v>
      </c>
      <c r="J13" s="101" t="s">
        <v>140</v>
      </c>
      <c r="K13" s="101"/>
      <c r="L13" s="102" t="s">
        <v>8</v>
      </c>
      <c r="M13" s="102"/>
      <c r="N13" s="102"/>
      <c r="O13" s="102"/>
      <c r="P13">
        <f>ROUNDDOWN(0.5*$D$1,0)</f>
        <v>0</v>
      </c>
      <c r="R13">
        <f t="shared" si="0"/>
        <v>0</v>
      </c>
    </row>
    <row r="14" spans="1:18" x14ac:dyDescent="0.4">
      <c r="A14" s="101" t="s">
        <v>127</v>
      </c>
      <c r="B14" s="101"/>
      <c r="C14" s="102" t="s">
        <v>128</v>
      </c>
      <c r="D14" s="102"/>
      <c r="E14" s="102"/>
      <c r="F14" s="102"/>
      <c r="G14">
        <f>7460</f>
        <v>7460</v>
      </c>
      <c r="J14" s="101" t="s">
        <v>141</v>
      </c>
      <c r="K14" s="101"/>
      <c r="L14" s="102" t="s">
        <v>142</v>
      </c>
      <c r="M14" s="102"/>
      <c r="N14" s="102"/>
      <c r="O14" s="102"/>
      <c r="P14">
        <f>7455</f>
        <v>7455</v>
      </c>
      <c r="R14">
        <f t="shared" si="0"/>
        <v>5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121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121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122</v>
      </c>
      <c r="B18" s="101"/>
      <c r="C18" s="102" t="s">
        <v>342</v>
      </c>
      <c r="D18" s="102"/>
      <c r="E18" s="102"/>
      <c r="F18" s="102"/>
      <c r="G18">
        <f>ROUNDDOWN(0.8*$D$1-0.3*(($D$1-4940)/(12150-4940))*$D$1,0)</f>
        <v>0</v>
      </c>
      <c r="J18" s="101" t="s">
        <v>136</v>
      </c>
      <c r="K18" s="101"/>
      <c r="L18" s="102" t="s">
        <v>347</v>
      </c>
      <c r="M18" s="102"/>
      <c r="N18" s="102"/>
      <c r="O18" s="102"/>
      <c r="P18">
        <f>ROUNDDOWN((-1*D1*D1+24140*D1)/24000,0)</f>
        <v>0</v>
      </c>
      <c r="R18">
        <f t="shared" si="0"/>
        <v>0</v>
      </c>
    </row>
    <row r="19" spans="1:18" x14ac:dyDescent="0.4">
      <c r="A19" s="101" t="s">
        <v>129</v>
      </c>
      <c r="B19" s="101"/>
      <c r="C19" s="102" t="s">
        <v>8</v>
      </c>
      <c r="D19" s="102"/>
      <c r="E19" s="102"/>
      <c r="F19" s="102"/>
      <c r="G19">
        <f>ROUNDDOWN(0.5*$D$1,0)</f>
        <v>0</v>
      </c>
      <c r="J19" s="101" t="s">
        <v>143</v>
      </c>
      <c r="K19" s="101"/>
      <c r="L19" s="102" t="s">
        <v>8</v>
      </c>
      <c r="M19" s="102"/>
      <c r="N19" s="102"/>
      <c r="O19" s="102"/>
      <c r="P19">
        <f>ROUNDDOWN(0.5*$D$1,0)</f>
        <v>0</v>
      </c>
      <c r="R19">
        <f t="shared" si="0"/>
        <v>0</v>
      </c>
    </row>
    <row r="20" spans="1:18" x14ac:dyDescent="0.4">
      <c r="A20" s="101" t="s">
        <v>130</v>
      </c>
      <c r="B20" s="101"/>
      <c r="C20" s="102" t="s">
        <v>131</v>
      </c>
      <c r="D20" s="102"/>
      <c r="E20" s="102"/>
      <c r="F20" s="102"/>
      <c r="G20">
        <f>8210</f>
        <v>8210</v>
      </c>
      <c r="J20" s="101" t="s">
        <v>144</v>
      </c>
      <c r="K20" s="101"/>
      <c r="L20" s="102" t="s">
        <v>145</v>
      </c>
      <c r="M20" s="102"/>
      <c r="N20" s="102"/>
      <c r="O20" s="102"/>
      <c r="P20">
        <f>8205</f>
        <v>8205</v>
      </c>
      <c r="R20">
        <f t="shared" si="0"/>
        <v>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121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146</v>
      </c>
      <c r="K23" s="111"/>
      <c r="L23" s="102" t="s">
        <v>6</v>
      </c>
      <c r="M23" s="102"/>
      <c r="N23" s="102"/>
      <c r="O23" s="102"/>
      <c r="P23" s="53">
        <f>ROUNDDOWN($D$1*0.8,0)</f>
        <v>0</v>
      </c>
      <c r="R23">
        <f t="shared" si="0"/>
        <v>0</v>
      </c>
    </row>
    <row r="24" spans="1:18" x14ac:dyDescent="0.4">
      <c r="A24" s="106" t="s">
        <v>133</v>
      </c>
      <c r="B24" s="107"/>
      <c r="C24" s="102" t="s">
        <v>345</v>
      </c>
      <c r="D24" s="102"/>
      <c r="E24" s="102"/>
      <c r="F24" s="102"/>
      <c r="G24">
        <f>ROUNDDOWN(0.8*$D$1-0.35*(($D$1-4940)/(10930-4940))*$D$1,0)</f>
        <v>0</v>
      </c>
      <c r="H24" s="91">
        <f>IF(G24&lt;G25,G24,G25)</f>
        <v>0</v>
      </c>
      <c r="J24" s="106" t="s">
        <v>147</v>
      </c>
      <c r="K24" s="107"/>
      <c r="L24" s="102" t="s">
        <v>151</v>
      </c>
      <c r="M24" s="102"/>
      <c r="N24" s="102"/>
      <c r="O24" s="102"/>
      <c r="P24">
        <f>ROUNDDOWN((-7*D1*D1+130260*D1)/119600,0)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344</v>
      </c>
      <c r="D25" s="104"/>
      <c r="E25" s="104"/>
      <c r="F25" s="105"/>
      <c r="G25">
        <f>ROUNDDOWN(0.05*D1+(10930*0.4),0)</f>
        <v>4372</v>
      </c>
      <c r="H25" s="91"/>
      <c r="J25" s="108"/>
      <c r="K25" s="109"/>
      <c r="L25" s="103" t="s">
        <v>150</v>
      </c>
      <c r="M25" s="104"/>
      <c r="N25" s="104"/>
      <c r="O25" s="105"/>
      <c r="P25">
        <f>ROUNDDOWN(0.05*D1+4368,0)</f>
        <v>4368</v>
      </c>
      <c r="Q25" s="91"/>
      <c r="R25" s="112"/>
    </row>
    <row r="26" spans="1:18" x14ac:dyDescent="0.4">
      <c r="A26" s="101" t="s">
        <v>132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148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134</v>
      </c>
      <c r="B27" s="101"/>
      <c r="C27" s="102" t="s">
        <v>135</v>
      </c>
      <c r="D27" s="102"/>
      <c r="E27" s="102"/>
      <c r="F27" s="102"/>
      <c r="G27">
        <f>7047</f>
        <v>7047</v>
      </c>
      <c r="J27" s="101" t="s">
        <v>149</v>
      </c>
      <c r="K27" s="101"/>
      <c r="L27" s="102" t="s">
        <v>152</v>
      </c>
      <c r="M27" s="102"/>
      <c r="N27" s="102"/>
      <c r="O27" s="102"/>
      <c r="P27">
        <f>7042</f>
        <v>7042</v>
      </c>
      <c r="R27">
        <f t="shared" si="0"/>
        <v>5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85" zoomScaleNormal="85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6" x14ac:dyDescent="0.4">
      <c r="A1" t="s">
        <v>153</v>
      </c>
      <c r="C1" s="23" t="s">
        <v>7</v>
      </c>
      <c r="D1">
        <f>計算用!O3</f>
        <v>0</v>
      </c>
      <c r="E1" s="23"/>
    </row>
    <row r="2" spans="1:16" x14ac:dyDescent="0.4">
      <c r="C2" s="23"/>
      <c r="E2" s="23"/>
    </row>
    <row r="3" spans="1:16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</row>
    <row r="4" spans="1:16" x14ac:dyDescent="0.4">
      <c r="A4" s="91" t="s">
        <v>1</v>
      </c>
      <c r="B4" s="91"/>
      <c r="J4" s="91" t="s">
        <v>1</v>
      </c>
      <c r="K4" s="91"/>
    </row>
    <row r="5" spans="1:16" x14ac:dyDescent="0.4">
      <c r="A5" s="101" t="s">
        <v>154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166</v>
      </c>
      <c r="K5" s="101"/>
      <c r="L5" s="102" t="s">
        <v>6</v>
      </c>
      <c r="M5" s="102"/>
      <c r="N5" s="102"/>
      <c r="O5" s="102"/>
      <c r="P5">
        <f>ROUNDDOWN($D$1*0.8,0)</f>
        <v>0</v>
      </c>
    </row>
    <row r="6" spans="1:16" x14ac:dyDescent="0.4">
      <c r="A6" s="101" t="s">
        <v>155</v>
      </c>
      <c r="B6" s="101"/>
      <c r="C6" s="102" t="s">
        <v>349</v>
      </c>
      <c r="D6" s="102"/>
      <c r="E6" s="102"/>
      <c r="F6" s="102"/>
      <c r="G6">
        <f>ROUNDDOWN(0.8*$D$1-0.3*(($D$1-4590)/(11640-4590))*$D$1,0)</f>
        <v>0</v>
      </c>
      <c r="J6" s="101" t="s">
        <v>167</v>
      </c>
      <c r="K6" s="101"/>
      <c r="L6" s="102" t="s">
        <v>171</v>
      </c>
      <c r="M6" s="102"/>
      <c r="N6" s="102"/>
      <c r="O6" s="102"/>
      <c r="P6">
        <f>ROUNDDOWN((-3*D1*D1+69980*D1)/70300,0)</f>
        <v>0</v>
      </c>
    </row>
    <row r="7" spans="1:16" x14ac:dyDescent="0.4">
      <c r="A7" s="101" t="s">
        <v>156</v>
      </c>
      <c r="B7" s="101"/>
      <c r="C7" s="102" t="s">
        <v>8</v>
      </c>
      <c r="D7" s="102"/>
      <c r="E7" s="102"/>
      <c r="F7" s="102"/>
      <c r="G7">
        <f>ROUNDDOWN(0.5*$D$1,0)</f>
        <v>0</v>
      </c>
      <c r="J7" s="101" t="s">
        <v>168</v>
      </c>
      <c r="K7" s="101"/>
      <c r="L7" s="102" t="s">
        <v>8</v>
      </c>
      <c r="M7" s="102"/>
      <c r="N7" s="102"/>
      <c r="O7" s="102"/>
      <c r="P7">
        <f>ROUNDDOWN(0.5*$D$1,0)</f>
        <v>0</v>
      </c>
    </row>
    <row r="8" spans="1:16" x14ac:dyDescent="0.4">
      <c r="A8" s="101" t="s">
        <v>157</v>
      </c>
      <c r="B8" s="101"/>
      <c r="C8" s="102" t="s">
        <v>158</v>
      </c>
      <c r="D8" s="102"/>
      <c r="E8" s="102"/>
      <c r="F8" s="102"/>
      <c r="G8">
        <f>6380</f>
        <v>6380</v>
      </c>
      <c r="J8" s="101" t="s">
        <v>169</v>
      </c>
      <c r="K8" s="101"/>
      <c r="L8" s="102" t="s">
        <v>172</v>
      </c>
      <c r="M8" s="102"/>
      <c r="N8" s="102"/>
      <c r="O8" s="102"/>
      <c r="P8">
        <f>6370</f>
        <v>6370</v>
      </c>
    </row>
    <row r="9" spans="1:16" ht="9.9499999999999993" customHeight="1" x14ac:dyDescent="0.4"/>
    <row r="10" spans="1:16" x14ac:dyDescent="0.4">
      <c r="A10" s="91" t="s">
        <v>10</v>
      </c>
      <c r="B10" s="91"/>
      <c r="J10" s="91" t="s">
        <v>10</v>
      </c>
      <c r="K10" s="91"/>
    </row>
    <row r="11" spans="1:16" x14ac:dyDescent="0.4">
      <c r="A11" s="101" t="s">
        <v>154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166</v>
      </c>
      <c r="K11" s="101"/>
      <c r="L11" s="102" t="s">
        <v>6</v>
      </c>
      <c r="M11" s="102"/>
      <c r="N11" s="102"/>
      <c r="O11" s="102"/>
      <c r="P11">
        <f>ROUNDDOWN($D$1*0.8,0)</f>
        <v>0</v>
      </c>
    </row>
    <row r="12" spans="1:16" x14ac:dyDescent="0.4">
      <c r="A12" s="101" t="s">
        <v>155</v>
      </c>
      <c r="B12" s="101"/>
      <c r="C12" s="102" t="s">
        <v>349</v>
      </c>
      <c r="D12" s="102"/>
      <c r="E12" s="102"/>
      <c r="F12" s="102"/>
      <c r="G12">
        <f>ROUNDDOWN(0.8*$D$1-0.3*(($D$1-4590)/(11640-4590))*$D$1,0)</f>
        <v>0</v>
      </c>
      <c r="J12" s="101" t="s">
        <v>167</v>
      </c>
      <c r="K12" s="101"/>
      <c r="L12" s="102" t="s">
        <v>170</v>
      </c>
      <c r="M12" s="102"/>
      <c r="N12" s="102"/>
      <c r="O12" s="102"/>
      <c r="P12">
        <f>ROUNDDOWN((-3*D1*D1+69980*D1)/70300,0)</f>
        <v>0</v>
      </c>
    </row>
    <row r="13" spans="1:16" x14ac:dyDescent="0.4">
      <c r="A13" s="101" t="s">
        <v>159</v>
      </c>
      <c r="B13" s="101"/>
      <c r="C13" s="102" t="s">
        <v>8</v>
      </c>
      <c r="D13" s="102"/>
      <c r="E13" s="102"/>
      <c r="F13" s="102"/>
      <c r="G13">
        <f>ROUNDDOWN(0.5*$D$1,0)</f>
        <v>0</v>
      </c>
      <c r="J13" s="101" t="s">
        <v>177</v>
      </c>
      <c r="K13" s="101"/>
      <c r="L13" s="102" t="s">
        <v>8</v>
      </c>
      <c r="M13" s="102"/>
      <c r="N13" s="102"/>
      <c r="O13" s="102"/>
      <c r="P13">
        <f>ROUNDDOWN(0.5*$D$1,0)</f>
        <v>0</v>
      </c>
    </row>
    <row r="14" spans="1:16" x14ac:dyDescent="0.4">
      <c r="A14" s="101" t="s">
        <v>197</v>
      </c>
      <c r="B14" s="101"/>
      <c r="C14" s="102" t="s">
        <v>160</v>
      </c>
      <c r="D14" s="102"/>
      <c r="E14" s="102"/>
      <c r="F14" s="102"/>
      <c r="G14">
        <f>7080</f>
        <v>7080</v>
      </c>
      <c r="J14" s="101" t="s">
        <v>178</v>
      </c>
      <c r="K14" s="101"/>
      <c r="L14" s="102" t="s">
        <v>176</v>
      </c>
      <c r="M14" s="102"/>
      <c r="N14" s="102"/>
      <c r="O14" s="102"/>
      <c r="P14">
        <f>7075</f>
        <v>7075</v>
      </c>
    </row>
    <row r="15" spans="1:16" ht="9.9499999999999993" customHeight="1" x14ac:dyDescent="0.4"/>
    <row r="16" spans="1:16" x14ac:dyDescent="0.4">
      <c r="A16" s="91" t="s">
        <v>14</v>
      </c>
      <c r="B16" s="91"/>
      <c r="J16" s="91" t="s">
        <v>14</v>
      </c>
      <c r="K16" s="91"/>
    </row>
    <row r="17" spans="1:17" x14ac:dyDescent="0.4">
      <c r="A17" s="101" t="s">
        <v>154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166</v>
      </c>
      <c r="K17" s="101"/>
      <c r="L17" s="102" t="s">
        <v>6</v>
      </c>
      <c r="M17" s="102"/>
      <c r="N17" s="102"/>
      <c r="O17" s="102"/>
      <c r="P17">
        <f>ROUNDDOWN($D$1*0.8,0)</f>
        <v>0</v>
      </c>
    </row>
    <row r="18" spans="1:17" x14ac:dyDescent="0.4">
      <c r="A18" s="101" t="s">
        <v>155</v>
      </c>
      <c r="B18" s="101"/>
      <c r="C18" s="102" t="s">
        <v>348</v>
      </c>
      <c r="D18" s="102"/>
      <c r="E18" s="102"/>
      <c r="F18" s="102"/>
      <c r="G18">
        <f>ROUNDDOWN(0.8*$D$1-0.3*(($D$1-4590)/(11640-4590))*$D$1,0)</f>
        <v>0</v>
      </c>
      <c r="J18" s="101" t="s">
        <v>167</v>
      </c>
      <c r="K18" s="101"/>
      <c r="L18" s="102" t="s">
        <v>170</v>
      </c>
      <c r="M18" s="102"/>
      <c r="N18" s="102"/>
      <c r="O18" s="102"/>
      <c r="P18">
        <f>ROUNDDOWN((-3*D1*D1+69980*D1)/70300,0)</f>
        <v>0</v>
      </c>
    </row>
    <row r="19" spans="1:17" x14ac:dyDescent="0.4">
      <c r="A19" s="101" t="s">
        <v>129</v>
      </c>
      <c r="B19" s="101"/>
      <c r="C19" s="102" t="s">
        <v>8</v>
      </c>
      <c r="D19" s="102"/>
      <c r="E19" s="102"/>
      <c r="F19" s="102"/>
      <c r="G19">
        <f>ROUNDDOWN(0.5*$D$1,0)</f>
        <v>0</v>
      </c>
      <c r="J19" s="101" t="s">
        <v>173</v>
      </c>
      <c r="K19" s="101"/>
      <c r="L19" s="102" t="s">
        <v>8</v>
      </c>
      <c r="M19" s="102"/>
      <c r="N19" s="102"/>
      <c r="O19" s="102"/>
      <c r="P19">
        <f>ROUNDDOWN(0.5*$D$1,0)</f>
        <v>0</v>
      </c>
    </row>
    <row r="20" spans="1:17" x14ac:dyDescent="0.4">
      <c r="A20" s="101" t="s">
        <v>130</v>
      </c>
      <c r="B20" s="101"/>
      <c r="C20" s="102" t="s">
        <v>161</v>
      </c>
      <c r="D20" s="102"/>
      <c r="E20" s="102"/>
      <c r="F20" s="102"/>
      <c r="G20">
        <f>7785</f>
        <v>7785</v>
      </c>
      <c r="J20" s="101" t="s">
        <v>174</v>
      </c>
      <c r="K20" s="101"/>
      <c r="L20" s="102" t="s">
        <v>175</v>
      </c>
      <c r="M20" s="102"/>
      <c r="N20" s="102"/>
      <c r="O20" s="102"/>
      <c r="P20">
        <f>7775</f>
        <v>7775</v>
      </c>
    </row>
    <row r="21" spans="1:17" ht="9.9499999999999993" customHeight="1" x14ac:dyDescent="0.4"/>
    <row r="22" spans="1:17" x14ac:dyDescent="0.4">
      <c r="A22" s="91" t="s">
        <v>18</v>
      </c>
      <c r="B22" s="91"/>
      <c r="J22" s="91" t="s">
        <v>18</v>
      </c>
      <c r="K22" s="91"/>
    </row>
    <row r="23" spans="1:17" x14ac:dyDescent="0.4">
      <c r="A23" s="101" t="s">
        <v>154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10" t="s">
        <v>166</v>
      </c>
      <c r="K23" s="111"/>
      <c r="L23" s="102" t="s">
        <v>6</v>
      </c>
      <c r="M23" s="102"/>
      <c r="N23" s="102"/>
      <c r="O23" s="102"/>
      <c r="P23">
        <f>ROUNDDOWN($D$1*0.8,0)</f>
        <v>0</v>
      </c>
    </row>
    <row r="24" spans="1:17" x14ac:dyDescent="0.4">
      <c r="A24" s="106" t="s">
        <v>162</v>
      </c>
      <c r="B24" s="107"/>
      <c r="C24" s="102" t="s">
        <v>350</v>
      </c>
      <c r="D24" s="102"/>
      <c r="E24" s="102"/>
      <c r="F24" s="102"/>
      <c r="G24">
        <f>ROUNDDOWN(0.8*$D$1-0.35*(($D$1-4590)/(10470-4590))*$D$1,0)</f>
        <v>0</v>
      </c>
      <c r="H24" s="91">
        <f>IF(G24&lt;G25,G24,G25)</f>
        <v>0</v>
      </c>
      <c r="J24" s="106" t="s">
        <v>179</v>
      </c>
      <c r="K24" s="107"/>
      <c r="L24" s="102" t="s">
        <v>183</v>
      </c>
      <c r="M24" s="102"/>
      <c r="N24" s="102"/>
      <c r="O24" s="102"/>
      <c r="P24">
        <f>ROUNDDOWN((-7*D1*D1+126140*D1)/117600,0)</f>
        <v>0</v>
      </c>
      <c r="Q24" s="91">
        <f>IF(P24&lt;P25,P24,P25)</f>
        <v>0</v>
      </c>
    </row>
    <row r="25" spans="1:17" x14ac:dyDescent="0.4">
      <c r="A25" s="108"/>
      <c r="B25" s="109"/>
      <c r="C25" s="103" t="s">
        <v>351</v>
      </c>
      <c r="D25" s="104"/>
      <c r="E25" s="104"/>
      <c r="F25" s="105"/>
      <c r="G25">
        <f>ROUNDDOWN(0.05*D1+(10470*0.4),0)</f>
        <v>4188</v>
      </c>
      <c r="H25" s="91"/>
      <c r="J25" s="108"/>
      <c r="K25" s="109"/>
      <c r="L25" s="103" t="s">
        <v>184</v>
      </c>
      <c r="M25" s="104"/>
      <c r="N25" s="104"/>
      <c r="O25" s="105"/>
      <c r="P25">
        <f>ROUNDDOWN(0.05*D1+4184,0)</f>
        <v>4184</v>
      </c>
      <c r="Q25" s="91"/>
    </row>
    <row r="26" spans="1:17" x14ac:dyDescent="0.4">
      <c r="A26" s="101" t="s">
        <v>165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180</v>
      </c>
      <c r="K26" s="101"/>
      <c r="L26" s="102" t="s">
        <v>21</v>
      </c>
      <c r="M26" s="102"/>
      <c r="N26" s="102"/>
      <c r="O26" s="102"/>
      <c r="P26">
        <f>ROUNDDOWN(0.45*$D$1,0)</f>
        <v>0</v>
      </c>
    </row>
    <row r="27" spans="1:17" x14ac:dyDescent="0.4">
      <c r="A27" s="101" t="s">
        <v>164</v>
      </c>
      <c r="B27" s="101"/>
      <c r="C27" s="102" t="s">
        <v>163</v>
      </c>
      <c r="D27" s="102"/>
      <c r="E27" s="102"/>
      <c r="F27" s="102"/>
      <c r="G27">
        <f>6691</f>
        <v>6691</v>
      </c>
      <c r="J27" s="101" t="s">
        <v>181</v>
      </c>
      <c r="K27" s="101"/>
      <c r="L27" s="102" t="s">
        <v>182</v>
      </c>
      <c r="M27" s="102"/>
      <c r="N27" s="102"/>
      <c r="O27" s="102"/>
      <c r="P27">
        <f>6687</f>
        <v>6687</v>
      </c>
    </row>
  </sheetData>
  <mergeCells count="78">
    <mergeCell ref="Q24:Q25"/>
    <mergeCell ref="A26:B26"/>
    <mergeCell ref="C26:F26"/>
    <mergeCell ref="J26:K26"/>
    <mergeCell ref="L26:O26"/>
    <mergeCell ref="A27:B27"/>
    <mergeCell ref="C27:F27"/>
    <mergeCell ref="J27:K27"/>
    <mergeCell ref="L27:O27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C25:F25"/>
    <mergeCell ref="L25:O25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185</v>
      </c>
      <c r="C1" s="25" t="s">
        <v>7</v>
      </c>
      <c r="D1">
        <f>計算用!O3</f>
        <v>0</v>
      </c>
      <c r="E1" s="25"/>
    </row>
    <row r="2" spans="1:18" x14ac:dyDescent="0.4">
      <c r="C2" s="25"/>
      <c r="E2" s="25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4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198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186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199</v>
      </c>
      <c r="B6" s="101"/>
      <c r="C6" s="102" t="s">
        <v>352</v>
      </c>
      <c r="D6" s="102"/>
      <c r="E6" s="102"/>
      <c r="F6" s="102"/>
      <c r="G6">
        <f>ROUNDDOWN(0.8*$D$1-0.3*(($D$1-4620)/(11710-4620))*$D$1,0)</f>
        <v>0</v>
      </c>
      <c r="J6" s="101" t="s">
        <v>187</v>
      </c>
      <c r="K6" s="101"/>
      <c r="L6" s="102" t="s">
        <v>214</v>
      </c>
      <c r="M6" s="102"/>
      <c r="N6" s="102"/>
      <c r="O6" s="102"/>
      <c r="P6">
        <f>ROUNDDOWN((-3*D1*D1+70280*D1)/70600,0)</f>
        <v>0</v>
      </c>
      <c r="R6">
        <f t="shared" ref="R6:R27" si="0">G6-P6</f>
        <v>0</v>
      </c>
    </row>
    <row r="7" spans="1:18" x14ac:dyDescent="0.4">
      <c r="A7" s="101" t="s">
        <v>200</v>
      </c>
      <c r="B7" s="101"/>
      <c r="C7" s="102" t="s">
        <v>8</v>
      </c>
      <c r="D7" s="102"/>
      <c r="E7" s="102"/>
      <c r="F7" s="102"/>
      <c r="G7">
        <f>ROUNDDOWN(0.5*$D$1,0)</f>
        <v>0</v>
      </c>
      <c r="J7" s="101" t="s">
        <v>188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201</v>
      </c>
      <c r="B8" s="101"/>
      <c r="C8" s="102" t="s">
        <v>208</v>
      </c>
      <c r="D8" s="102"/>
      <c r="E8" s="102"/>
      <c r="F8" s="102"/>
      <c r="G8">
        <f>6415</f>
        <v>6415</v>
      </c>
      <c r="J8" s="101" t="s">
        <v>189</v>
      </c>
      <c r="K8" s="101"/>
      <c r="L8" s="102" t="s">
        <v>215</v>
      </c>
      <c r="M8" s="102"/>
      <c r="N8" s="102"/>
      <c r="O8" s="102"/>
      <c r="P8">
        <f>6395</f>
        <v>6395</v>
      </c>
      <c r="R8">
        <f t="shared" si="0"/>
        <v>20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198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186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199</v>
      </c>
      <c r="B12" s="101"/>
      <c r="C12" s="102" t="s">
        <v>352</v>
      </c>
      <c r="D12" s="102"/>
      <c r="E12" s="102"/>
      <c r="F12" s="102"/>
      <c r="G12">
        <f>ROUNDDOWN(0.8*$D$1-0.3*(($D$1-4620)/(11710-4620))*$D$1,0)</f>
        <v>0</v>
      </c>
      <c r="J12" s="101" t="s">
        <v>187</v>
      </c>
      <c r="K12" s="101"/>
      <c r="L12" s="102" t="s">
        <v>214</v>
      </c>
      <c r="M12" s="102"/>
      <c r="N12" s="102"/>
      <c r="O12" s="102"/>
      <c r="P12">
        <f>ROUNDDOWN((-3*D1*D1+70280*D1)/70600,0)</f>
        <v>0</v>
      </c>
      <c r="R12">
        <f t="shared" si="0"/>
        <v>0</v>
      </c>
    </row>
    <row r="13" spans="1:18" x14ac:dyDescent="0.4">
      <c r="A13" s="101" t="s">
        <v>202</v>
      </c>
      <c r="B13" s="101"/>
      <c r="C13" s="102" t="s">
        <v>209</v>
      </c>
      <c r="D13" s="102"/>
      <c r="E13" s="102"/>
      <c r="F13" s="102"/>
      <c r="G13">
        <f>ROUNDDOWN(0.5*$D$1,0)</f>
        <v>0</v>
      </c>
      <c r="J13" s="101" t="s">
        <v>190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203</v>
      </c>
      <c r="B14" s="101"/>
      <c r="C14" s="102" t="s">
        <v>210</v>
      </c>
      <c r="D14" s="102"/>
      <c r="E14" s="102"/>
      <c r="F14" s="102"/>
      <c r="G14">
        <f>7120</f>
        <v>7120</v>
      </c>
      <c r="J14" s="101" t="s">
        <v>191</v>
      </c>
      <c r="K14" s="101"/>
      <c r="L14" s="102" t="s">
        <v>216</v>
      </c>
      <c r="M14" s="102"/>
      <c r="N14" s="102"/>
      <c r="O14" s="102"/>
      <c r="P14">
        <f>7105</f>
        <v>7105</v>
      </c>
      <c r="R14">
        <f t="shared" si="0"/>
        <v>15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198</v>
      </c>
      <c r="B17" s="101"/>
      <c r="C17" s="102" t="s">
        <v>211</v>
      </c>
      <c r="D17" s="102"/>
      <c r="E17" s="102"/>
      <c r="F17" s="102"/>
      <c r="G17">
        <f>ROUNDDOWN($D$1*0.8,0)</f>
        <v>0</v>
      </c>
      <c r="J17" s="101" t="s">
        <v>186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199</v>
      </c>
      <c r="B18" s="101"/>
      <c r="C18" s="102" t="s">
        <v>352</v>
      </c>
      <c r="D18" s="102"/>
      <c r="E18" s="102"/>
      <c r="F18" s="102"/>
      <c r="G18">
        <f>ROUNDDOWN(0.8*$D$1-0.3*(($D$1-4620)/(11710-4620))*$D$1,0)</f>
        <v>0</v>
      </c>
      <c r="J18" s="101" t="s">
        <v>187</v>
      </c>
      <c r="K18" s="101"/>
      <c r="L18" s="102" t="s">
        <v>214</v>
      </c>
      <c r="M18" s="102"/>
      <c r="N18" s="102"/>
      <c r="O18" s="102"/>
      <c r="P18">
        <f>ROUNDDOWN((-3*D1*D1+70280*D1)/70600,0)</f>
        <v>0</v>
      </c>
      <c r="R18">
        <f t="shared" si="0"/>
        <v>0</v>
      </c>
    </row>
    <row r="19" spans="1:18" x14ac:dyDescent="0.4">
      <c r="A19" s="101" t="s">
        <v>204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192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134</v>
      </c>
      <c r="B20" s="101"/>
      <c r="C20" s="102" t="s">
        <v>212</v>
      </c>
      <c r="D20" s="102"/>
      <c r="E20" s="102"/>
      <c r="F20" s="102"/>
      <c r="G20">
        <f>7830</f>
        <v>7830</v>
      </c>
      <c r="J20" s="101" t="s">
        <v>193</v>
      </c>
      <c r="K20" s="101"/>
      <c r="L20" s="102" t="s">
        <v>217</v>
      </c>
      <c r="M20" s="102"/>
      <c r="N20" s="102"/>
      <c r="O20" s="102"/>
      <c r="P20">
        <f>7810</f>
        <v>7810</v>
      </c>
      <c r="R20">
        <f t="shared" si="0"/>
        <v>20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198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01" t="s">
        <v>186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205</v>
      </c>
      <c r="B24" s="107"/>
      <c r="C24" s="102" t="s">
        <v>353</v>
      </c>
      <c r="D24" s="102"/>
      <c r="E24" s="102"/>
      <c r="F24" s="102"/>
      <c r="G24">
        <f>ROUNDDOWN(0.8*$D$1-0.35*(($D$1-4620)/(10530-4620))*$D$1,0)</f>
        <v>0</v>
      </c>
      <c r="H24" s="91">
        <f>IF(G24&lt;G25,G24,G25)</f>
        <v>0</v>
      </c>
      <c r="J24" s="106" t="s">
        <v>194</v>
      </c>
      <c r="K24" s="107"/>
      <c r="L24" s="102" t="s">
        <v>218</v>
      </c>
      <c r="M24" s="102"/>
      <c r="N24" s="102"/>
      <c r="O24" s="102"/>
      <c r="P24">
        <f>ROUNDDOWN((-7*D1*D1+126600*D1)/118000,0)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354</v>
      </c>
      <c r="D25" s="104"/>
      <c r="E25" s="104"/>
      <c r="F25" s="105"/>
      <c r="G25">
        <f>ROUNDDOWN(0.05*D1+(10530*0.4),0)</f>
        <v>4212</v>
      </c>
      <c r="H25" s="91"/>
      <c r="J25" s="108"/>
      <c r="K25" s="109"/>
      <c r="L25" s="103" t="s">
        <v>219</v>
      </c>
      <c r="M25" s="104"/>
      <c r="N25" s="104"/>
      <c r="O25" s="105"/>
      <c r="P25">
        <f>ROUNDDOWN(0.05*D1+4200,0)</f>
        <v>4200</v>
      </c>
      <c r="Q25" s="91"/>
      <c r="R25" s="112"/>
    </row>
    <row r="26" spans="1:18" x14ac:dyDescent="0.4">
      <c r="A26" s="101" t="s">
        <v>206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195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207</v>
      </c>
      <c r="B27" s="101"/>
      <c r="C27" s="102" t="s">
        <v>213</v>
      </c>
      <c r="D27" s="102"/>
      <c r="E27" s="102"/>
      <c r="F27" s="102"/>
      <c r="G27">
        <f>6732</f>
        <v>6732</v>
      </c>
      <c r="J27" s="101" t="s">
        <v>196</v>
      </c>
      <c r="K27" s="101"/>
      <c r="L27" s="102" t="s">
        <v>220</v>
      </c>
      <c r="M27" s="102"/>
      <c r="N27" s="102"/>
      <c r="O27" s="102"/>
      <c r="P27">
        <f>6714</f>
        <v>6714</v>
      </c>
      <c r="R27">
        <f t="shared" si="0"/>
        <v>18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221</v>
      </c>
      <c r="C1" s="25" t="s">
        <v>7</v>
      </c>
      <c r="D1">
        <f>計算用!O3</f>
        <v>0</v>
      </c>
      <c r="E1" s="25"/>
    </row>
    <row r="2" spans="1:18" x14ac:dyDescent="0.4">
      <c r="C2" s="25"/>
      <c r="E2" s="25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4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10" t="s">
        <v>222</v>
      </c>
      <c r="B5" s="111"/>
      <c r="C5" s="102" t="s">
        <v>6</v>
      </c>
      <c r="D5" s="102"/>
      <c r="E5" s="102"/>
      <c r="F5" s="102"/>
      <c r="G5">
        <f>ROUNDDOWN($D$1*0.8,0)</f>
        <v>0</v>
      </c>
      <c r="J5" s="101" t="s">
        <v>186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10" t="s">
        <v>223</v>
      </c>
      <c r="B6" s="111"/>
      <c r="C6" s="102" t="s">
        <v>355</v>
      </c>
      <c r="D6" s="102"/>
      <c r="E6" s="102"/>
      <c r="F6" s="102"/>
      <c r="G6">
        <f>ROUNDDOWN(0.8*$D$1-0.3*(($D$1-4610)/(11690-4610))*$D$1,0)</f>
        <v>0</v>
      </c>
      <c r="J6" s="101" t="s">
        <v>237</v>
      </c>
      <c r="K6" s="101"/>
      <c r="L6" s="102" t="s">
        <v>238</v>
      </c>
      <c r="M6" s="102"/>
      <c r="N6" s="102"/>
      <c r="O6" s="102"/>
      <c r="P6">
        <f>ROUNDDOWN((-1*D1*D1+23400*D1)/23500,0)</f>
        <v>0</v>
      </c>
      <c r="R6">
        <f t="shared" ref="R6:R27" si="0">G6-P6</f>
        <v>0</v>
      </c>
    </row>
    <row r="7" spans="1:18" x14ac:dyDescent="0.4">
      <c r="A7" s="101" t="s">
        <v>224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241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225</v>
      </c>
      <c r="B8" s="101"/>
      <c r="C8" s="102" t="s">
        <v>226</v>
      </c>
      <c r="D8" s="102"/>
      <c r="E8" s="102"/>
      <c r="F8" s="102"/>
      <c r="G8">
        <f>6405</f>
        <v>6405</v>
      </c>
      <c r="J8" s="101" t="s">
        <v>240</v>
      </c>
      <c r="K8" s="101"/>
      <c r="L8" s="102" t="s">
        <v>239</v>
      </c>
      <c r="M8" s="102"/>
      <c r="N8" s="102"/>
      <c r="O8" s="102"/>
      <c r="P8">
        <f>6390</f>
        <v>6390</v>
      </c>
      <c r="R8">
        <f t="shared" si="0"/>
        <v>15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10" t="s">
        <v>222</v>
      </c>
      <c r="B11" s="111"/>
      <c r="C11" s="102" t="s">
        <v>6</v>
      </c>
      <c r="D11" s="102"/>
      <c r="E11" s="102"/>
      <c r="F11" s="102"/>
      <c r="G11">
        <f>ROUNDDOWN($D$1*0.8,0)</f>
        <v>0</v>
      </c>
      <c r="J11" s="101" t="s">
        <v>186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10" t="s">
        <v>223</v>
      </c>
      <c r="B12" s="111"/>
      <c r="C12" s="102" t="s">
        <v>355</v>
      </c>
      <c r="D12" s="102"/>
      <c r="E12" s="102"/>
      <c r="F12" s="102"/>
      <c r="G12">
        <f>ROUNDDOWN(0.8*$D$1-0.3*(($D$1-4610)/(11690-4610))*$D$1,0)</f>
        <v>0</v>
      </c>
      <c r="J12" s="101" t="s">
        <v>237</v>
      </c>
      <c r="K12" s="101"/>
      <c r="L12" s="102" t="s">
        <v>238</v>
      </c>
      <c r="M12" s="102"/>
      <c r="N12" s="102"/>
      <c r="O12" s="102"/>
      <c r="P12">
        <f>ROUNDDOWN((-1*D1*D1+23400*D1)/23500,0)</f>
        <v>0</v>
      </c>
      <c r="R12">
        <f t="shared" si="0"/>
        <v>0</v>
      </c>
    </row>
    <row r="13" spans="1:18" x14ac:dyDescent="0.4">
      <c r="A13" s="101" t="s">
        <v>227</v>
      </c>
      <c r="B13" s="101"/>
      <c r="C13" s="102" t="s">
        <v>209</v>
      </c>
      <c r="D13" s="102"/>
      <c r="E13" s="102"/>
      <c r="F13" s="102"/>
      <c r="G13">
        <f>ROUNDDOWN($D$1*0.5,0)</f>
        <v>0</v>
      </c>
      <c r="J13" s="101" t="s">
        <v>242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228</v>
      </c>
      <c r="B14" s="101"/>
      <c r="C14" s="102" t="s">
        <v>229</v>
      </c>
      <c r="D14" s="102"/>
      <c r="E14" s="102"/>
      <c r="F14" s="102"/>
      <c r="G14">
        <f>7110</f>
        <v>7110</v>
      </c>
      <c r="J14" s="101" t="s">
        <v>191</v>
      </c>
      <c r="K14" s="101"/>
      <c r="L14" s="102" t="s">
        <v>243</v>
      </c>
      <c r="M14" s="102"/>
      <c r="N14" s="102"/>
      <c r="O14" s="102"/>
      <c r="P14">
        <f>7100</f>
        <v>7100</v>
      </c>
      <c r="R14">
        <f t="shared" si="0"/>
        <v>10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10" t="s">
        <v>222</v>
      </c>
      <c r="B17" s="111"/>
      <c r="C17" s="102" t="s">
        <v>211</v>
      </c>
      <c r="D17" s="102"/>
      <c r="E17" s="102"/>
      <c r="F17" s="102"/>
      <c r="G17">
        <f>ROUNDDOWN($D$1*0.8,0)</f>
        <v>0</v>
      </c>
      <c r="J17" s="101" t="s">
        <v>186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10" t="s">
        <v>223</v>
      </c>
      <c r="B18" s="111"/>
      <c r="C18" s="102" t="s">
        <v>355</v>
      </c>
      <c r="D18" s="102"/>
      <c r="E18" s="102"/>
      <c r="F18" s="102"/>
      <c r="G18">
        <f>ROUNDDOWN(0.8*$D$1-0.3*(($D$1-4610)/(11690-4610))*$D$1,0)</f>
        <v>0</v>
      </c>
      <c r="J18" s="101" t="s">
        <v>237</v>
      </c>
      <c r="K18" s="101"/>
      <c r="L18" s="102" t="s">
        <v>238</v>
      </c>
      <c r="M18" s="102"/>
      <c r="N18" s="102"/>
      <c r="O18" s="102"/>
      <c r="P18">
        <f>ROUNDDOWN((-1*D1*D1+23400*D1)/23500,0)</f>
        <v>0</v>
      </c>
      <c r="R18">
        <f t="shared" si="0"/>
        <v>0</v>
      </c>
    </row>
    <row r="19" spans="1:18" x14ac:dyDescent="0.4">
      <c r="A19" s="101" t="s">
        <v>230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244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231</v>
      </c>
      <c r="B20" s="101"/>
      <c r="C20" s="102" t="s">
        <v>232</v>
      </c>
      <c r="D20" s="102"/>
      <c r="E20" s="102"/>
      <c r="F20" s="102"/>
      <c r="G20">
        <f>7820</f>
        <v>7820</v>
      </c>
      <c r="J20" s="101" t="s">
        <v>245</v>
      </c>
      <c r="K20" s="101"/>
      <c r="L20" s="102" t="s">
        <v>246</v>
      </c>
      <c r="M20" s="102"/>
      <c r="N20" s="102"/>
      <c r="O20" s="102"/>
      <c r="P20">
        <f>7805</f>
        <v>7805</v>
      </c>
      <c r="R20">
        <f t="shared" si="0"/>
        <v>15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10" t="s">
        <v>222</v>
      </c>
      <c r="B23" s="111"/>
      <c r="C23" s="102" t="s">
        <v>6</v>
      </c>
      <c r="D23" s="102"/>
      <c r="E23" s="102"/>
      <c r="F23" s="102"/>
      <c r="G23">
        <f>ROUNDDOWN($D$1*0.8,0)</f>
        <v>0</v>
      </c>
      <c r="J23" s="101" t="s">
        <v>186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235</v>
      </c>
      <c r="B24" s="107"/>
      <c r="C24" s="102" t="s">
        <v>356</v>
      </c>
      <c r="D24" s="102"/>
      <c r="E24" s="102"/>
      <c r="F24" s="102"/>
      <c r="G24">
        <f>ROUNDDOWN(0.8*$D$1-0.35*(($D$1-4610)/(10510-4610))*$D$1,0)</f>
        <v>0</v>
      </c>
      <c r="H24" s="91">
        <f>IF(G24&lt;G25,G24,G25)</f>
        <v>0</v>
      </c>
      <c r="J24" s="106" t="s">
        <v>247</v>
      </c>
      <c r="K24" s="107"/>
      <c r="L24" s="102" t="s">
        <v>248</v>
      </c>
      <c r="M24" s="102"/>
      <c r="N24" s="102"/>
      <c r="O24" s="102"/>
      <c r="P24">
        <f>ROUNDDOWN((-7*D1*D1+126440*D1)/117800,0)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357</v>
      </c>
      <c r="D25" s="104"/>
      <c r="E25" s="104"/>
      <c r="F25" s="105"/>
      <c r="G25">
        <f>ROUNDDOWN(0.05*D1+(10510*0.4),0)</f>
        <v>4204</v>
      </c>
      <c r="H25" s="91"/>
      <c r="J25" s="108"/>
      <c r="K25" s="109"/>
      <c r="L25" s="103" t="s">
        <v>249</v>
      </c>
      <c r="M25" s="104"/>
      <c r="N25" s="104"/>
      <c r="O25" s="105"/>
      <c r="P25">
        <f>ROUNDDOWN(0.05*D1+4196,0)</f>
        <v>4196</v>
      </c>
      <c r="Q25" s="91"/>
      <c r="R25" s="112"/>
    </row>
    <row r="26" spans="1:18" x14ac:dyDescent="0.4">
      <c r="A26" s="101" t="s">
        <v>234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251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236</v>
      </c>
      <c r="B27" s="101"/>
      <c r="C27" s="102" t="s">
        <v>233</v>
      </c>
      <c r="D27" s="102"/>
      <c r="E27" s="102"/>
      <c r="F27" s="102"/>
      <c r="G27">
        <f>6723</f>
        <v>6723</v>
      </c>
      <c r="J27" s="101" t="s">
        <v>141</v>
      </c>
      <c r="K27" s="101"/>
      <c r="L27" s="102" t="s">
        <v>250</v>
      </c>
      <c r="M27" s="102"/>
      <c r="N27" s="102"/>
      <c r="O27" s="102"/>
      <c r="P27">
        <f>6709</f>
        <v>6709</v>
      </c>
      <c r="R27">
        <f t="shared" si="0"/>
        <v>14</v>
      </c>
    </row>
  </sheetData>
  <mergeCells count="79">
    <mergeCell ref="A3:F3"/>
    <mergeCell ref="J3:O3"/>
    <mergeCell ref="A4:B4"/>
    <mergeCell ref="J4:K4"/>
    <mergeCell ref="A5:B5"/>
    <mergeCell ref="C5:F5"/>
    <mergeCell ref="J5:K5"/>
    <mergeCell ref="L5:O5"/>
    <mergeCell ref="A6:B6"/>
    <mergeCell ref="C6:F6"/>
    <mergeCell ref="J6:K6"/>
    <mergeCell ref="L6:O6"/>
    <mergeCell ref="A7:B7"/>
    <mergeCell ref="C7:F7"/>
    <mergeCell ref="J7:K7"/>
    <mergeCell ref="L7:O7"/>
    <mergeCell ref="A8:B8"/>
    <mergeCell ref="C8:F8"/>
    <mergeCell ref="J8:K8"/>
    <mergeCell ref="L8:O8"/>
    <mergeCell ref="A10:B10"/>
    <mergeCell ref="J10:K10"/>
    <mergeCell ref="A11:B11"/>
    <mergeCell ref="C11:F11"/>
    <mergeCell ref="J11:K11"/>
    <mergeCell ref="L11:O11"/>
    <mergeCell ref="A12:B12"/>
    <mergeCell ref="C12:F12"/>
    <mergeCell ref="J12:K12"/>
    <mergeCell ref="L12:O12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8:B18"/>
    <mergeCell ref="C18:F18"/>
    <mergeCell ref="J18:K18"/>
    <mergeCell ref="L18:O18"/>
    <mergeCell ref="A19:B19"/>
    <mergeCell ref="C19:F19"/>
    <mergeCell ref="J19:K19"/>
    <mergeCell ref="L19:O19"/>
    <mergeCell ref="A20:B20"/>
    <mergeCell ref="C20:F20"/>
    <mergeCell ref="J20:K20"/>
    <mergeCell ref="L20:O20"/>
    <mergeCell ref="A22:B22"/>
    <mergeCell ref="J22:K22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R24:R25"/>
    <mergeCell ref="C25:F25"/>
    <mergeCell ref="L25:O25"/>
    <mergeCell ref="A26:B26"/>
    <mergeCell ref="C26:F26"/>
    <mergeCell ref="J26:K26"/>
    <mergeCell ref="L26:O26"/>
    <mergeCell ref="A27:B27"/>
    <mergeCell ref="C27:F27"/>
    <mergeCell ref="J27:K27"/>
    <mergeCell ref="L27:O27"/>
    <mergeCell ref="Q24:Q25"/>
  </mergeCells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85" zoomScaleNormal="85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252</v>
      </c>
      <c r="C1" s="27" t="s">
        <v>7</v>
      </c>
      <c r="D1">
        <f>計算用!O3</f>
        <v>0</v>
      </c>
      <c r="E1" s="27"/>
    </row>
    <row r="2" spans="1:18" x14ac:dyDescent="0.4">
      <c r="C2" s="27"/>
      <c r="E2" s="27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6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222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222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223</v>
      </c>
      <c r="B6" s="101"/>
      <c r="C6" s="102" t="s">
        <v>358</v>
      </c>
      <c r="D6" s="102"/>
      <c r="E6" s="102"/>
      <c r="F6" s="102"/>
      <c r="G6">
        <f>ROUNDDOWN(0.8*$D$1-0.3*(($D$1-4610)/(11690-4610))*$D$1,0)</f>
        <v>0</v>
      </c>
      <c r="J6" s="101" t="s">
        <v>262</v>
      </c>
      <c r="K6" s="101"/>
      <c r="L6" s="102" t="s">
        <v>265</v>
      </c>
      <c r="M6" s="102"/>
      <c r="N6" s="102"/>
      <c r="O6" s="102"/>
      <c r="P6">
        <f>ROUNDDOWN((-3*D1*D1+70390*D1)/70700,0)</f>
        <v>0</v>
      </c>
      <c r="R6">
        <f t="shared" ref="R6:R27" si="0">G6-P6</f>
        <v>0</v>
      </c>
    </row>
    <row r="7" spans="1:18" x14ac:dyDescent="0.4">
      <c r="A7" s="101" t="s">
        <v>224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263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225</v>
      </c>
      <c r="B8" s="101"/>
      <c r="C8" s="102" t="s">
        <v>253</v>
      </c>
      <c r="D8" s="102"/>
      <c r="E8" s="102"/>
      <c r="F8" s="102"/>
      <c r="G8">
        <f>6405</f>
        <v>6405</v>
      </c>
      <c r="J8" s="101" t="s">
        <v>225</v>
      </c>
      <c r="K8" s="101"/>
      <c r="L8" s="102" t="s">
        <v>264</v>
      </c>
      <c r="M8" s="102"/>
      <c r="N8" s="102"/>
      <c r="O8" s="102"/>
      <c r="P8">
        <f>6405</f>
        <v>6405</v>
      </c>
      <c r="R8">
        <f t="shared" si="0"/>
        <v>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222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222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223</v>
      </c>
      <c r="B12" s="101"/>
      <c r="C12" s="102" t="s">
        <v>358</v>
      </c>
      <c r="D12" s="102"/>
      <c r="E12" s="102"/>
      <c r="F12" s="102"/>
      <c r="G12">
        <f>ROUNDDOWN(0.8*$D$1-0.3*(($D$1-4610)/(11690-4610))*$D$1,0)</f>
        <v>0</v>
      </c>
      <c r="J12" s="101" t="s">
        <v>262</v>
      </c>
      <c r="K12" s="101"/>
      <c r="L12" s="102" t="s">
        <v>265</v>
      </c>
      <c r="M12" s="102"/>
      <c r="N12" s="102"/>
      <c r="O12" s="102"/>
      <c r="P12">
        <f>ROUNDDOWN((-3*D1*D1+70390*D1)/70700,0)</f>
        <v>0</v>
      </c>
      <c r="R12">
        <f t="shared" si="0"/>
        <v>0</v>
      </c>
    </row>
    <row r="13" spans="1:18" x14ac:dyDescent="0.4">
      <c r="A13" s="101" t="s">
        <v>254</v>
      </c>
      <c r="B13" s="101"/>
      <c r="C13" s="102" t="s">
        <v>209</v>
      </c>
      <c r="D13" s="102"/>
      <c r="E13" s="102"/>
      <c r="F13" s="102"/>
      <c r="G13">
        <f>ROUNDDOWN($D$1*0.5,0)</f>
        <v>0</v>
      </c>
      <c r="J13" s="101" t="s">
        <v>271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255</v>
      </c>
      <c r="B14" s="101"/>
      <c r="C14" s="102" t="s">
        <v>256</v>
      </c>
      <c r="D14" s="102"/>
      <c r="E14" s="102"/>
      <c r="F14" s="102"/>
      <c r="G14">
        <f>7115</f>
        <v>7115</v>
      </c>
      <c r="J14" s="101" t="s">
        <v>255</v>
      </c>
      <c r="K14" s="101"/>
      <c r="L14" s="102" t="s">
        <v>266</v>
      </c>
      <c r="M14" s="102"/>
      <c r="N14" s="102"/>
      <c r="O14" s="102"/>
      <c r="P14">
        <f>7115</f>
        <v>7115</v>
      </c>
      <c r="R14">
        <f t="shared" si="0"/>
        <v>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222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222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223</v>
      </c>
      <c r="B18" s="101"/>
      <c r="C18" s="102" t="s">
        <v>358</v>
      </c>
      <c r="D18" s="102"/>
      <c r="E18" s="102"/>
      <c r="F18" s="102"/>
      <c r="G18">
        <f>ROUNDDOWN(0.8*$D$1-0.3*(($D$1-4610)/(11690-4610))*$D$1,0)</f>
        <v>0</v>
      </c>
      <c r="J18" s="101" t="s">
        <v>262</v>
      </c>
      <c r="K18" s="101"/>
      <c r="L18" s="102" t="s">
        <v>265</v>
      </c>
      <c r="M18" s="102"/>
      <c r="N18" s="102"/>
      <c r="O18" s="102"/>
      <c r="P18">
        <f>ROUNDDOWN((-3*D1*D1+70390*D1)/70700,0)</f>
        <v>0</v>
      </c>
      <c r="R18">
        <f t="shared" si="0"/>
        <v>0</v>
      </c>
    </row>
    <row r="19" spans="1:18" x14ac:dyDescent="0.4">
      <c r="A19" s="101" t="s">
        <v>257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267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149</v>
      </c>
      <c r="B20" s="101"/>
      <c r="C20" s="102" t="s">
        <v>258</v>
      </c>
      <c r="D20" s="102"/>
      <c r="E20" s="102"/>
      <c r="F20" s="102"/>
      <c r="G20">
        <f>7825</f>
        <v>7825</v>
      </c>
      <c r="J20" s="101" t="s">
        <v>134</v>
      </c>
      <c r="K20" s="101"/>
      <c r="L20" s="102" t="s">
        <v>587</v>
      </c>
      <c r="M20" s="102"/>
      <c r="N20" s="102"/>
      <c r="O20" s="102"/>
      <c r="P20">
        <f>7825</f>
        <v>7825</v>
      </c>
      <c r="R20">
        <f t="shared" si="0"/>
        <v>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10" t="s">
        <v>222</v>
      </c>
      <c r="B23" s="111"/>
      <c r="C23" s="102" t="s">
        <v>6</v>
      </c>
      <c r="D23" s="102"/>
      <c r="E23" s="102"/>
      <c r="F23" s="102"/>
      <c r="G23">
        <f>ROUNDDOWN($D$1*0.8,0)</f>
        <v>0</v>
      </c>
      <c r="J23" s="101" t="s">
        <v>222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235</v>
      </c>
      <c r="B24" s="107"/>
      <c r="C24" s="102" t="s">
        <v>358</v>
      </c>
      <c r="D24" s="102"/>
      <c r="E24" s="102"/>
      <c r="F24" s="102"/>
      <c r="G24">
        <f>ROUNDDOWN(0.8*$D$1-0.35*(($D$1-4610)/(10510-4610))*$D$1,0)</f>
        <v>0</v>
      </c>
      <c r="H24" s="91">
        <f>IF(G24&lt;G25,G24,G25)</f>
        <v>0</v>
      </c>
      <c r="J24" s="106" t="s">
        <v>235</v>
      </c>
      <c r="K24" s="107"/>
      <c r="L24" s="102" t="s">
        <v>269</v>
      </c>
      <c r="M24" s="102"/>
      <c r="N24" s="102"/>
      <c r="O24" s="102"/>
      <c r="P24">
        <f>ROUNDDOWN((-7*D1*D1+126670*D1)/118000,0)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357</v>
      </c>
      <c r="D25" s="104"/>
      <c r="E25" s="104"/>
      <c r="F25" s="105"/>
      <c r="G25">
        <f>ROUNDDOWN(0.05*D1+(10510*0.4),0)</f>
        <v>4204</v>
      </c>
      <c r="H25" s="91"/>
      <c r="J25" s="108"/>
      <c r="K25" s="109"/>
      <c r="L25" s="103" t="s">
        <v>270</v>
      </c>
      <c r="M25" s="104"/>
      <c r="N25" s="104"/>
      <c r="O25" s="105"/>
      <c r="P25">
        <f>ROUNDDOWN(0.05*D1+4204,0)</f>
        <v>4204</v>
      </c>
      <c r="Q25" s="91"/>
      <c r="R25" s="112"/>
    </row>
    <row r="26" spans="1:18" x14ac:dyDescent="0.4">
      <c r="A26" s="101" t="s">
        <v>261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234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260</v>
      </c>
      <c r="B27" s="101"/>
      <c r="C27" s="102" t="s">
        <v>259</v>
      </c>
      <c r="D27" s="102"/>
      <c r="E27" s="102"/>
      <c r="F27" s="102"/>
      <c r="G27">
        <f>6727</f>
        <v>6727</v>
      </c>
      <c r="J27" s="101" t="s">
        <v>236</v>
      </c>
      <c r="K27" s="101"/>
      <c r="L27" s="102" t="s">
        <v>268</v>
      </c>
      <c r="M27" s="102"/>
      <c r="N27" s="102"/>
      <c r="O27" s="102"/>
      <c r="P27">
        <f>6723</f>
        <v>6723</v>
      </c>
      <c r="R27">
        <f t="shared" si="0"/>
        <v>4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0" zoomScaleNormal="70" workbookViewId="0"/>
  </sheetViews>
  <sheetFormatPr defaultRowHeight="18.75" x14ac:dyDescent="0.4"/>
  <cols>
    <col min="6" max="6" width="11.5" customWidth="1"/>
    <col min="9" max="9" width="1.875" customWidth="1"/>
    <col min="15" max="15" width="11.5" customWidth="1"/>
  </cols>
  <sheetData>
    <row r="1" spans="1:18" x14ac:dyDescent="0.4">
      <c r="A1" t="s">
        <v>272</v>
      </c>
      <c r="C1" s="27" t="s">
        <v>7</v>
      </c>
      <c r="D1">
        <f>計算用!O3</f>
        <v>0</v>
      </c>
      <c r="E1" s="27"/>
    </row>
    <row r="2" spans="1:18" x14ac:dyDescent="0.4">
      <c r="C2" s="27"/>
      <c r="E2" s="27"/>
    </row>
    <row r="3" spans="1:18" x14ac:dyDescent="0.4">
      <c r="A3" s="91" t="s">
        <v>24</v>
      </c>
      <c r="B3" s="91"/>
      <c r="C3" s="91"/>
      <c r="D3" s="91"/>
      <c r="E3" s="91"/>
      <c r="F3" s="91"/>
      <c r="G3" s="2"/>
      <c r="H3" s="2"/>
      <c r="J3" s="91" t="s">
        <v>25</v>
      </c>
      <c r="K3" s="91"/>
      <c r="L3" s="91"/>
      <c r="M3" s="91"/>
      <c r="N3" s="91"/>
      <c r="O3" s="91"/>
      <c r="R3" s="26" t="s">
        <v>40</v>
      </c>
    </row>
    <row r="4" spans="1:18" x14ac:dyDescent="0.4">
      <c r="A4" s="91" t="s">
        <v>1</v>
      </c>
      <c r="B4" s="91"/>
      <c r="J4" s="91" t="s">
        <v>1</v>
      </c>
      <c r="K4" s="91"/>
    </row>
    <row r="5" spans="1:18" x14ac:dyDescent="0.4">
      <c r="A5" s="101" t="s">
        <v>273</v>
      </c>
      <c r="B5" s="101"/>
      <c r="C5" s="102" t="s">
        <v>6</v>
      </c>
      <c r="D5" s="102"/>
      <c r="E5" s="102"/>
      <c r="F5" s="102"/>
      <c r="G5">
        <f>ROUNDDOWN($D$1*0.8,0)</f>
        <v>0</v>
      </c>
      <c r="J5" s="101" t="s">
        <v>273</v>
      </c>
      <c r="K5" s="101"/>
      <c r="L5" s="102" t="s">
        <v>6</v>
      </c>
      <c r="M5" s="102"/>
      <c r="N5" s="102"/>
      <c r="O5" s="102"/>
      <c r="P5">
        <f>ROUNDDOWN($D$1*0.8,0)</f>
        <v>0</v>
      </c>
      <c r="R5">
        <f>G5-P5</f>
        <v>0</v>
      </c>
    </row>
    <row r="6" spans="1:18" x14ac:dyDescent="0.4">
      <c r="A6" s="101" t="s">
        <v>274</v>
      </c>
      <c r="B6" s="101"/>
      <c r="C6" s="102" t="s">
        <v>361</v>
      </c>
      <c r="D6" s="102"/>
      <c r="E6" s="102"/>
      <c r="F6" s="102"/>
      <c r="G6">
        <f>ROUNDDOWN(0.8*$D$1-0.3*(($D$1-4640)/(11750-4640))*$D$1,0)</f>
        <v>0</v>
      </c>
      <c r="J6" s="101" t="s">
        <v>287</v>
      </c>
      <c r="K6" s="101"/>
      <c r="L6" s="102" t="s">
        <v>289</v>
      </c>
      <c r="M6" s="102"/>
      <c r="N6" s="102"/>
      <c r="O6" s="102"/>
      <c r="P6">
        <f>ROUNDDOWN((-3*D1*D1+70720*D1)/71000,0)</f>
        <v>0</v>
      </c>
      <c r="R6">
        <f t="shared" ref="R6:R27" si="0">G6-P6</f>
        <v>0</v>
      </c>
    </row>
    <row r="7" spans="1:18" x14ac:dyDescent="0.4">
      <c r="A7" s="101" t="s">
        <v>275</v>
      </c>
      <c r="B7" s="101"/>
      <c r="C7" s="102" t="s">
        <v>8</v>
      </c>
      <c r="D7" s="102"/>
      <c r="E7" s="102"/>
      <c r="F7" s="102"/>
      <c r="G7">
        <f>ROUNDDOWN($D$1*0.5,0)</f>
        <v>0</v>
      </c>
      <c r="J7" s="101" t="s">
        <v>291</v>
      </c>
      <c r="K7" s="101"/>
      <c r="L7" s="102" t="s">
        <v>8</v>
      </c>
      <c r="M7" s="102"/>
      <c r="N7" s="102"/>
      <c r="O7" s="102"/>
      <c r="P7">
        <f>ROUNDDOWN($D$1*0.5,0)</f>
        <v>0</v>
      </c>
      <c r="R7">
        <f t="shared" si="0"/>
        <v>0</v>
      </c>
    </row>
    <row r="8" spans="1:18" x14ac:dyDescent="0.4">
      <c r="A8" s="101" t="s">
        <v>276</v>
      </c>
      <c r="B8" s="101"/>
      <c r="C8" s="102" t="s">
        <v>277</v>
      </c>
      <c r="D8" s="102"/>
      <c r="E8" s="102"/>
      <c r="F8" s="102"/>
      <c r="G8">
        <f>6440</f>
        <v>6440</v>
      </c>
      <c r="J8" s="101" t="s">
        <v>276</v>
      </c>
      <c r="K8" s="101"/>
      <c r="L8" s="102" t="s">
        <v>290</v>
      </c>
      <c r="M8" s="102"/>
      <c r="N8" s="102"/>
      <c r="O8" s="102"/>
      <c r="P8">
        <f>6440</f>
        <v>6440</v>
      </c>
      <c r="R8">
        <f t="shared" si="0"/>
        <v>0</v>
      </c>
    </row>
    <row r="9" spans="1:18" ht="9.9499999999999993" customHeight="1" x14ac:dyDescent="0.4"/>
    <row r="10" spans="1:18" x14ac:dyDescent="0.4">
      <c r="A10" s="91" t="s">
        <v>10</v>
      </c>
      <c r="B10" s="91"/>
      <c r="J10" s="91" t="s">
        <v>10</v>
      </c>
      <c r="K10" s="91"/>
    </row>
    <row r="11" spans="1:18" x14ac:dyDescent="0.4">
      <c r="A11" s="101" t="s">
        <v>273</v>
      </c>
      <c r="B11" s="101"/>
      <c r="C11" s="102" t="s">
        <v>6</v>
      </c>
      <c r="D11" s="102"/>
      <c r="E11" s="102"/>
      <c r="F11" s="102"/>
      <c r="G11">
        <f>ROUNDDOWN($D$1*0.8,0)</f>
        <v>0</v>
      </c>
      <c r="J11" s="101" t="s">
        <v>273</v>
      </c>
      <c r="K11" s="101"/>
      <c r="L11" s="102" t="s">
        <v>6</v>
      </c>
      <c r="M11" s="102"/>
      <c r="N11" s="102"/>
      <c r="O11" s="102"/>
      <c r="P11">
        <f>ROUNDDOWN($D$1*0.8,0)</f>
        <v>0</v>
      </c>
      <c r="R11">
        <f t="shared" si="0"/>
        <v>0</v>
      </c>
    </row>
    <row r="12" spans="1:18" x14ac:dyDescent="0.4">
      <c r="A12" s="101" t="s">
        <v>274</v>
      </c>
      <c r="B12" s="101"/>
      <c r="C12" s="102" t="s">
        <v>361</v>
      </c>
      <c r="D12" s="102"/>
      <c r="E12" s="102"/>
      <c r="F12" s="102"/>
      <c r="G12">
        <f>ROUNDDOWN(0.8*$D$1-0.3*(($D$1-4640)/(11750-4640))*$D$1,0)</f>
        <v>0</v>
      </c>
      <c r="J12" s="101" t="s">
        <v>287</v>
      </c>
      <c r="K12" s="101"/>
      <c r="L12" s="102" t="s">
        <v>289</v>
      </c>
      <c r="M12" s="102"/>
      <c r="N12" s="102"/>
      <c r="O12" s="102"/>
      <c r="P12">
        <f>ROUNDDOWN((-3*D1*D1+70720*D1)/71000,0)</f>
        <v>0</v>
      </c>
      <c r="R12">
        <f t="shared" si="0"/>
        <v>0</v>
      </c>
    </row>
    <row r="13" spans="1:18" x14ac:dyDescent="0.4">
      <c r="A13" s="101" t="s">
        <v>279</v>
      </c>
      <c r="B13" s="101"/>
      <c r="C13" s="102" t="s">
        <v>209</v>
      </c>
      <c r="D13" s="102"/>
      <c r="E13" s="102"/>
      <c r="F13" s="102"/>
      <c r="G13">
        <f>ROUNDDOWN($D$1*0.5,0)</f>
        <v>0</v>
      </c>
      <c r="J13" s="101" t="s">
        <v>288</v>
      </c>
      <c r="K13" s="101"/>
      <c r="L13" s="102" t="s">
        <v>8</v>
      </c>
      <c r="M13" s="102"/>
      <c r="N13" s="102"/>
      <c r="O13" s="102"/>
      <c r="P13">
        <f>ROUNDDOWN($D$1*0.5,0)</f>
        <v>0</v>
      </c>
      <c r="R13">
        <f t="shared" si="0"/>
        <v>0</v>
      </c>
    </row>
    <row r="14" spans="1:18" x14ac:dyDescent="0.4">
      <c r="A14" s="101" t="s">
        <v>278</v>
      </c>
      <c r="B14" s="101"/>
      <c r="C14" s="102" t="s">
        <v>280</v>
      </c>
      <c r="D14" s="102"/>
      <c r="E14" s="102"/>
      <c r="F14" s="102"/>
      <c r="G14">
        <f>7155</f>
        <v>7155</v>
      </c>
      <c r="J14" s="101" t="s">
        <v>278</v>
      </c>
      <c r="K14" s="101"/>
      <c r="L14" s="102" t="s">
        <v>294</v>
      </c>
      <c r="M14" s="102"/>
      <c r="N14" s="102"/>
      <c r="O14" s="102"/>
      <c r="P14">
        <f>7155</f>
        <v>7155</v>
      </c>
      <c r="R14">
        <f t="shared" si="0"/>
        <v>0</v>
      </c>
    </row>
    <row r="15" spans="1:18" ht="9.9499999999999993" customHeight="1" x14ac:dyDescent="0.4"/>
    <row r="16" spans="1:18" x14ac:dyDescent="0.4">
      <c r="A16" s="91" t="s">
        <v>14</v>
      </c>
      <c r="B16" s="91"/>
      <c r="J16" s="91" t="s">
        <v>14</v>
      </c>
      <c r="K16" s="91"/>
    </row>
    <row r="17" spans="1:18" x14ac:dyDescent="0.4">
      <c r="A17" s="101" t="s">
        <v>273</v>
      </c>
      <c r="B17" s="101"/>
      <c r="C17" s="102" t="s">
        <v>6</v>
      </c>
      <c r="D17" s="102"/>
      <c r="E17" s="102"/>
      <c r="F17" s="102"/>
      <c r="G17">
        <f>ROUNDDOWN($D$1*0.8,0)</f>
        <v>0</v>
      </c>
      <c r="J17" s="101" t="s">
        <v>273</v>
      </c>
      <c r="K17" s="101"/>
      <c r="L17" s="102" t="s">
        <v>6</v>
      </c>
      <c r="M17" s="102"/>
      <c r="N17" s="102"/>
      <c r="O17" s="102"/>
      <c r="P17">
        <f>ROUNDDOWN($D$1*0.8,0)</f>
        <v>0</v>
      </c>
      <c r="R17">
        <f t="shared" si="0"/>
        <v>0</v>
      </c>
    </row>
    <row r="18" spans="1:18" x14ac:dyDescent="0.4">
      <c r="A18" s="101" t="s">
        <v>274</v>
      </c>
      <c r="B18" s="101"/>
      <c r="C18" s="102" t="s">
        <v>361</v>
      </c>
      <c r="D18" s="102"/>
      <c r="E18" s="102"/>
      <c r="F18" s="102"/>
      <c r="G18">
        <f>ROUNDDOWN(0.8*$D$1-0.3*(($D$1-4640)/(11750-4640))*$D$1,0)</f>
        <v>0</v>
      </c>
      <c r="J18" s="101" t="s">
        <v>287</v>
      </c>
      <c r="K18" s="101"/>
      <c r="L18" s="102" t="s">
        <v>289</v>
      </c>
      <c r="M18" s="102"/>
      <c r="N18" s="102"/>
      <c r="O18" s="102"/>
      <c r="P18">
        <f>ROUNDDOWN((-3*D1*D1+70720*D1)/71000,0)</f>
        <v>0</v>
      </c>
      <c r="R18">
        <f t="shared" si="0"/>
        <v>0</v>
      </c>
    </row>
    <row r="19" spans="1:18" x14ac:dyDescent="0.4">
      <c r="A19" s="101" t="s">
        <v>281</v>
      </c>
      <c r="B19" s="101"/>
      <c r="C19" s="102" t="s">
        <v>8</v>
      </c>
      <c r="D19" s="102"/>
      <c r="E19" s="102"/>
      <c r="F19" s="102"/>
      <c r="G19">
        <f>ROUNDDOWN($D$1*0.5,0)</f>
        <v>0</v>
      </c>
      <c r="J19" s="101" t="s">
        <v>293</v>
      </c>
      <c r="K19" s="101"/>
      <c r="L19" s="102" t="s">
        <v>8</v>
      </c>
      <c r="M19" s="102"/>
      <c r="N19" s="102"/>
      <c r="O19" s="102"/>
      <c r="P19">
        <f>ROUNDDOWN($D$1*0.5,0)</f>
        <v>0</v>
      </c>
      <c r="R19">
        <f t="shared" si="0"/>
        <v>0</v>
      </c>
    </row>
    <row r="20" spans="1:18" x14ac:dyDescent="0.4">
      <c r="A20" s="101" t="s">
        <v>38</v>
      </c>
      <c r="B20" s="101"/>
      <c r="C20" s="102" t="s">
        <v>282</v>
      </c>
      <c r="D20" s="102"/>
      <c r="E20" s="102"/>
      <c r="F20" s="102"/>
      <c r="G20">
        <f>7870</f>
        <v>7870</v>
      </c>
      <c r="J20" s="101" t="s">
        <v>38</v>
      </c>
      <c r="K20" s="101"/>
      <c r="L20" s="102" t="s">
        <v>292</v>
      </c>
      <c r="M20" s="102"/>
      <c r="N20" s="102"/>
      <c r="O20" s="102"/>
      <c r="P20">
        <f>7870</f>
        <v>7870</v>
      </c>
      <c r="R20">
        <f t="shared" si="0"/>
        <v>0</v>
      </c>
    </row>
    <row r="21" spans="1:18" ht="9.9499999999999993" customHeight="1" x14ac:dyDescent="0.4"/>
    <row r="22" spans="1:18" x14ac:dyDescent="0.4">
      <c r="A22" s="91" t="s">
        <v>18</v>
      </c>
      <c r="B22" s="91"/>
      <c r="J22" s="91" t="s">
        <v>18</v>
      </c>
      <c r="K22" s="91"/>
    </row>
    <row r="23" spans="1:18" x14ac:dyDescent="0.4">
      <c r="A23" s="101" t="s">
        <v>273</v>
      </c>
      <c r="B23" s="101"/>
      <c r="C23" s="102" t="s">
        <v>6</v>
      </c>
      <c r="D23" s="102"/>
      <c r="E23" s="102"/>
      <c r="F23" s="102"/>
      <c r="G23">
        <f>ROUNDDOWN($D$1*0.8,0)</f>
        <v>0</v>
      </c>
      <c r="J23" s="101" t="s">
        <v>273</v>
      </c>
      <c r="K23" s="101"/>
      <c r="L23" s="102" t="s">
        <v>6</v>
      </c>
      <c r="M23" s="102"/>
      <c r="N23" s="102"/>
      <c r="O23" s="102"/>
      <c r="P23">
        <f>ROUNDDOWN($D$1*0.8,0)</f>
        <v>0</v>
      </c>
      <c r="R23">
        <f t="shared" si="0"/>
        <v>0</v>
      </c>
    </row>
    <row r="24" spans="1:18" x14ac:dyDescent="0.4">
      <c r="A24" s="106" t="s">
        <v>283</v>
      </c>
      <c r="B24" s="107"/>
      <c r="C24" s="102" t="s">
        <v>360</v>
      </c>
      <c r="D24" s="102"/>
      <c r="E24" s="102"/>
      <c r="F24" s="102"/>
      <c r="G24">
        <f>ROUNDDOWN(0.8*$D$1-0.35*(($D$1-4640)/(10570-4640))*$D$1,0)</f>
        <v>0</v>
      </c>
      <c r="H24" s="91">
        <f>IF(G24&lt;G25,G24,G25)</f>
        <v>0</v>
      </c>
      <c r="J24" s="106" t="s">
        <v>283</v>
      </c>
      <c r="K24" s="107"/>
      <c r="L24" s="102" t="s">
        <v>295</v>
      </c>
      <c r="M24" s="102"/>
      <c r="N24" s="102"/>
      <c r="O24" s="102"/>
      <c r="P24">
        <f>ROUNDDOWN((-7*D1*D1+127360*D1)/118600,0)</f>
        <v>0</v>
      </c>
      <c r="Q24" s="91">
        <f>IF(P24&lt;P25,P24,P25)</f>
        <v>0</v>
      </c>
      <c r="R24" s="112">
        <f>H24-Q24</f>
        <v>0</v>
      </c>
    </row>
    <row r="25" spans="1:18" x14ac:dyDescent="0.4">
      <c r="A25" s="108"/>
      <c r="B25" s="109"/>
      <c r="C25" s="103" t="s">
        <v>359</v>
      </c>
      <c r="D25" s="104"/>
      <c r="E25" s="104"/>
      <c r="F25" s="105"/>
      <c r="G25">
        <f>ROUNDDOWN(0.05*D1+(10570*0.4),0)</f>
        <v>4228</v>
      </c>
      <c r="H25" s="91"/>
      <c r="J25" s="108"/>
      <c r="K25" s="109"/>
      <c r="L25" s="103" t="s">
        <v>296</v>
      </c>
      <c r="M25" s="104"/>
      <c r="N25" s="104"/>
      <c r="O25" s="105"/>
      <c r="P25">
        <f>ROUNDDOWN(0.05*D1+4228,0)</f>
        <v>4228</v>
      </c>
      <c r="Q25" s="91"/>
      <c r="R25" s="112"/>
    </row>
    <row r="26" spans="1:18" x14ac:dyDescent="0.4">
      <c r="A26" s="101" t="s">
        <v>286</v>
      </c>
      <c r="B26" s="101"/>
      <c r="C26" s="102" t="s">
        <v>21</v>
      </c>
      <c r="D26" s="102"/>
      <c r="E26" s="102"/>
      <c r="F26" s="102"/>
      <c r="G26">
        <f>ROUNDDOWN(0.45*$D$1,0)</f>
        <v>0</v>
      </c>
      <c r="J26" s="101" t="s">
        <v>297</v>
      </c>
      <c r="K26" s="101"/>
      <c r="L26" s="102" t="s">
        <v>21</v>
      </c>
      <c r="M26" s="102"/>
      <c r="N26" s="102"/>
      <c r="O26" s="102"/>
      <c r="P26">
        <f>ROUNDDOWN(0.45*$D$1,0)</f>
        <v>0</v>
      </c>
      <c r="R26">
        <f t="shared" si="0"/>
        <v>0</v>
      </c>
    </row>
    <row r="27" spans="1:18" x14ac:dyDescent="0.4">
      <c r="A27" s="101" t="s">
        <v>285</v>
      </c>
      <c r="B27" s="101"/>
      <c r="C27" s="102" t="s">
        <v>284</v>
      </c>
      <c r="D27" s="102"/>
      <c r="E27" s="102"/>
      <c r="F27" s="102"/>
      <c r="G27">
        <f>6763</f>
        <v>6763</v>
      </c>
      <c r="J27" s="101" t="s">
        <v>298</v>
      </c>
      <c r="K27" s="101"/>
      <c r="L27" s="102" t="s">
        <v>299</v>
      </c>
      <c r="M27" s="102"/>
      <c r="N27" s="102"/>
      <c r="O27" s="102"/>
      <c r="P27">
        <f>6759</f>
        <v>6759</v>
      </c>
      <c r="R27">
        <f t="shared" si="0"/>
        <v>4</v>
      </c>
    </row>
  </sheetData>
  <mergeCells count="79">
    <mergeCell ref="A27:B27"/>
    <mergeCell ref="C27:F27"/>
    <mergeCell ref="J27:K27"/>
    <mergeCell ref="L27:O27"/>
    <mergeCell ref="Q24:Q25"/>
    <mergeCell ref="R24:R25"/>
    <mergeCell ref="C25:F25"/>
    <mergeCell ref="L25:O25"/>
    <mergeCell ref="A26:B26"/>
    <mergeCell ref="C26:F26"/>
    <mergeCell ref="J26:K26"/>
    <mergeCell ref="L26:O26"/>
    <mergeCell ref="A23:B23"/>
    <mergeCell ref="C23:F23"/>
    <mergeCell ref="J23:K23"/>
    <mergeCell ref="L23:O23"/>
    <mergeCell ref="A24:B25"/>
    <mergeCell ref="C24:F24"/>
    <mergeCell ref="H24:H25"/>
    <mergeCell ref="J24:K25"/>
    <mergeCell ref="L24:O24"/>
    <mergeCell ref="A20:B20"/>
    <mergeCell ref="C20:F20"/>
    <mergeCell ref="J20:K20"/>
    <mergeCell ref="L20:O20"/>
    <mergeCell ref="A22:B22"/>
    <mergeCell ref="J22:K22"/>
    <mergeCell ref="A18:B18"/>
    <mergeCell ref="C18:F18"/>
    <mergeCell ref="J18:K18"/>
    <mergeCell ref="L18:O18"/>
    <mergeCell ref="A19:B19"/>
    <mergeCell ref="C19:F19"/>
    <mergeCell ref="J19:K19"/>
    <mergeCell ref="L19:O19"/>
    <mergeCell ref="L17:O17"/>
    <mergeCell ref="A13:B13"/>
    <mergeCell ref="C13:F13"/>
    <mergeCell ref="J13:K13"/>
    <mergeCell ref="L13:O13"/>
    <mergeCell ref="A14:B14"/>
    <mergeCell ref="C14:F14"/>
    <mergeCell ref="J14:K14"/>
    <mergeCell ref="L14:O14"/>
    <mergeCell ref="A16:B16"/>
    <mergeCell ref="J16:K16"/>
    <mergeCell ref="A17:B17"/>
    <mergeCell ref="C17:F17"/>
    <mergeCell ref="J17:K17"/>
    <mergeCell ref="A11:B11"/>
    <mergeCell ref="C11:F11"/>
    <mergeCell ref="J11:K11"/>
    <mergeCell ref="L11:O11"/>
    <mergeCell ref="A12:B12"/>
    <mergeCell ref="C12:F12"/>
    <mergeCell ref="J12:K12"/>
    <mergeCell ref="L12:O12"/>
    <mergeCell ref="A8:B8"/>
    <mergeCell ref="C8:F8"/>
    <mergeCell ref="J8:K8"/>
    <mergeCell ref="L8:O8"/>
    <mergeCell ref="A10:B10"/>
    <mergeCell ref="J10:K10"/>
    <mergeCell ref="A6:B6"/>
    <mergeCell ref="C6:F6"/>
    <mergeCell ref="J6:K6"/>
    <mergeCell ref="L6:O6"/>
    <mergeCell ref="A7:B7"/>
    <mergeCell ref="C7:F7"/>
    <mergeCell ref="J7:K7"/>
    <mergeCell ref="L7:O7"/>
    <mergeCell ref="A3:F3"/>
    <mergeCell ref="J3:O3"/>
    <mergeCell ref="A4:B4"/>
    <mergeCell ref="J4:K4"/>
    <mergeCell ref="A5:B5"/>
    <mergeCell ref="C5:F5"/>
    <mergeCell ref="J5:K5"/>
    <mergeCell ref="L5:O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入力画面</vt:lpstr>
      <vt:lpstr>計算用</vt:lpstr>
      <vt:lpstr>H30.8.1~</vt:lpstr>
      <vt:lpstr>H29.8.1～</vt:lpstr>
      <vt:lpstr>H28.8.1～</vt:lpstr>
      <vt:lpstr>H27.8.1～ </vt:lpstr>
      <vt:lpstr>H26.8.1～ </vt:lpstr>
      <vt:lpstr>H25.8.1～</vt:lpstr>
      <vt:lpstr>H24.8.1～</vt:lpstr>
      <vt:lpstr>H23.8.1～</vt:lpstr>
      <vt:lpstr>H22.8.1～</vt:lpstr>
      <vt:lpstr>H21.8.1～</vt:lpstr>
      <vt:lpstr>H20.8.1～</vt:lpstr>
      <vt:lpstr>H19.8.1～</vt:lpstr>
      <vt:lpstr>H18.8.1～</vt:lpstr>
      <vt:lpstr>H17.8.1～</vt:lpstr>
      <vt:lpstr>H16.8.1～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2020-06-25T06:28:00Z</cp:lastPrinted>
  <dcterms:created xsi:type="dcterms:W3CDTF">2020-06-04T06:26:54Z</dcterms:created>
  <dcterms:modified xsi:type="dcterms:W3CDTF">2020-06-25T06:29:58Z</dcterms:modified>
</cp:coreProperties>
</file>