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trlProps/ctrlProp2.xml" ContentType="application/vnd.ms-excel.controlpropertie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ctrlProps/ctrlProp3.xml" ContentType="application/vnd.ms-excel.controlpropertie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ctrlProps/ctrlProp4.xml" ContentType="application/vnd.ms-excel.controlpropertie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8.xml" ContentType="application/vnd.openxmlformats-officedocument.drawing+xml"/>
  <Override PartName="/xl/ctrlProps/ctrlProp8.xml" ContentType="application/vnd.ms-excel.controlpropertie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drawings/drawing9.xml" ContentType="application/vnd.openxmlformats-officedocument.drawing+xml"/>
  <Override PartName="/xl/ctrlProps/ctrlProp9.xml" ContentType="application/vnd.ms-excel.controlproperties+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0.xml" ContentType="application/vnd.openxmlformats-officedocument.drawing+xml"/>
  <Override PartName="/xl/ctrlProps/ctrlProp10.xml" ContentType="application/vnd.ms-excel.controlproperties+xml"/>
  <Override PartName="/xl/drawings/drawing11.xml" ContentType="application/vnd.openxmlformats-officedocument.drawing+xml"/>
  <Override PartName="/xl/ctrlProps/ctrlProp11.xml" ContentType="application/vnd.ms-excel.controlproperties+xml"/>
  <Override PartName="/xl/drawings/drawing12.xml" ContentType="application/vnd.openxmlformats-officedocument.drawing+xml"/>
  <Override PartName="/xl/ctrlProps/ctrlProp12.xml" ContentType="application/vnd.ms-excel.controlproperties+xml"/>
  <Override PartName="/xl/tables/table22.xml" ContentType="application/vnd.openxmlformats-officedocument.spreadsheetml.table+xml"/>
  <Override PartName="/xl/tables/table23.xml" ContentType="application/vnd.openxmlformats-officedocument.spreadsheetml.table+xml"/>
  <Override PartName="/xl/drawings/drawing13.xml" ContentType="application/vnd.openxmlformats-officedocument.drawing+xml"/>
  <Override PartName="/xl/ctrlProps/ctrlProp13.xml" ContentType="application/vnd.ms-excel.controlproperties+xml"/>
  <Override PartName="/xl/tables/table24.xml" ContentType="application/vnd.openxmlformats-officedocument.spreadsheetml.table+xml"/>
  <Override PartName="/xl/tables/table25.xml" ContentType="application/vnd.openxmlformats-officedocument.spreadsheetml.table+xml"/>
  <Override PartName="/xl/drawings/drawing14.xml" ContentType="application/vnd.openxmlformats-officedocument.drawing+xml"/>
  <Override PartName="/xl/ctrlProps/ctrlProp14.xml" ContentType="application/vnd.ms-excel.controlproperties+xml"/>
  <Override PartName="/xl/tables/table26.xml" ContentType="application/vnd.openxmlformats-officedocument.spreadsheetml.table+xml"/>
  <Override PartName="/xl/tables/table27.xml" ContentType="application/vnd.openxmlformats-officedocument.spreadsheetml.table+xml"/>
  <Override PartName="/xl/drawings/drawing15.xml" ContentType="application/vnd.openxmlformats-officedocument.drawing+xml"/>
  <Override PartName="/xl/ctrlProps/ctrlProp15.xml" ContentType="application/vnd.ms-excel.controlproperties+xml"/>
  <Override PartName="/xl/tables/table28.xml" ContentType="application/vnd.openxmlformats-officedocument.spreadsheetml.table+xml"/>
  <Override PartName="/xl/tables/table29.xml" ContentType="application/vnd.openxmlformats-officedocument.spreadsheetml.table+xml"/>
  <Override PartName="/xl/drawings/drawing16.xml" ContentType="application/vnd.openxmlformats-officedocument.drawing+xml"/>
  <Override PartName="/xl/ctrlProps/ctrlProp16.xml" ContentType="application/vnd.ms-excel.controlproperties+xml"/>
  <Override PartName="/xl/drawings/drawing17.xml" ContentType="application/vnd.openxmlformats-officedocument.drawing+xml"/>
  <Override PartName="/xl/ctrlProps/ctrlProp17.xml" ContentType="application/vnd.ms-excel.controlproperties+xml"/>
  <Override PartName="/xl/drawings/drawing18.xml" ContentType="application/vnd.openxmlformats-officedocument.drawing+xml"/>
  <Override PartName="/xl/ctrlProps/ctrlProp18.xml" ContentType="application/vnd.ms-excel.controlproperties+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drawings/drawing19.xml" ContentType="application/vnd.openxmlformats-officedocument.drawing+xml"/>
  <Override PartName="/xl/ctrlProps/ctrlProp19.xml" ContentType="application/vnd.ms-excel.controlproperties+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drawings/drawing20.xml" ContentType="application/vnd.openxmlformats-officedocument.drawing+xml"/>
  <Override PartName="/xl/ctrlProps/ctrlProp20.xml" ContentType="application/vnd.ms-excel.controlproperties+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drawings/drawing21.xml" ContentType="application/vnd.openxmlformats-officedocument.drawing+xml"/>
  <Override PartName="/xl/ctrlProps/ctrlProp21.xml" ContentType="application/vnd.ms-excel.controlproperties+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drawings/drawing22.xml" ContentType="application/vnd.openxmlformats-officedocument.drawing+xml"/>
  <Override PartName="/xl/ctrlProps/ctrlProp22.xml" ContentType="application/vnd.ms-excel.controlproperties+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drawings/drawing23.xml" ContentType="application/vnd.openxmlformats-officedocument.drawing+xml"/>
  <Override PartName="/xl/ctrlProps/ctrlProp23.xml" ContentType="application/vnd.ms-excel.controlproperties+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drawings/drawing24.xml" ContentType="application/vnd.openxmlformats-officedocument.drawing+xml"/>
  <Override PartName="/xl/ctrlProps/ctrlProp24.xml" ContentType="application/vnd.ms-excel.controlproperties+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drawings/drawing25.xml" ContentType="application/vnd.openxmlformats-officedocument.drawing+xml"/>
  <Override PartName="/xl/ctrlProps/ctrlProp25.xml" ContentType="application/vnd.ms-excel.controlproperties+xml"/>
  <Override PartName="/xl/drawings/drawing26.xml" ContentType="application/vnd.openxmlformats-officedocument.drawing+xml"/>
  <Override PartName="/xl/ctrlProps/ctrlProp26.xml" ContentType="application/vnd.ms-excel.controlproperties+xml"/>
  <Override PartName="/xl/drawings/drawing27.xml" ContentType="application/vnd.openxmlformats-officedocument.drawing+xml"/>
  <Override PartName="/xl/ctrlProps/ctrlProp27.xml" ContentType="application/vnd.ms-excel.controlproperties+xml"/>
  <Override PartName="/xl/drawings/drawing28.xml" ContentType="application/vnd.openxmlformats-officedocument.drawing+xml"/>
  <Override PartName="/xl/ctrlProps/ctrlProp28.xml" ContentType="application/vnd.ms-excel.controlproperties+xml"/>
  <Override PartName="/xl/drawings/drawing29.xml" ContentType="application/vnd.openxmlformats-officedocument.drawing+xml"/>
  <Override PartName="/xl/ctrlProps/ctrlProp29.xml" ContentType="application/vnd.ms-excel.controlproperties+xml"/>
  <Override PartName="/xl/drawings/drawing30.xml" ContentType="application/vnd.openxmlformats-officedocument.drawing+xml"/>
  <Override PartName="/xl/ctrlProps/ctrlProp30.xml" ContentType="application/vnd.ms-excel.controlproperties+xml"/>
  <Override PartName="/xl/drawings/drawing31.xml" ContentType="application/vnd.openxmlformats-officedocument.drawing+xml"/>
  <Override PartName="/xl/ctrlProps/ctrlProp31.xml" ContentType="application/vnd.ms-excel.controlproperties+xml"/>
  <Override PartName="/xl/drawings/drawing32.xml" ContentType="application/vnd.openxmlformats-officedocument.drawing+xml"/>
  <Override PartName="/xl/ctrlProps/ctrlProp32.xml" ContentType="application/vnd.ms-excel.controlproperties+xml"/>
  <Override PartName="/xl/drawings/drawing33.xml" ContentType="application/vnd.openxmlformats-officedocument.drawing+xml"/>
  <Override PartName="/xl/ctrlProps/ctrlProp33.xml" ContentType="application/vnd.ms-excel.controlproperties+xml"/>
  <Override PartName="/xl/drawings/drawing34.xml" ContentType="application/vnd.openxmlformats-officedocument.drawing+xml"/>
  <Override PartName="/xl/ctrlProps/ctrlProp34.xml" ContentType="application/vnd.ms-excel.controlproperties+xml"/>
  <Override PartName="/xl/drawings/drawing35.xml" ContentType="application/vnd.openxmlformats-officedocument.drawing+xml"/>
  <Override PartName="/xl/ctrlProps/ctrlProp35.xml" ContentType="application/vnd.ms-excel.controlproperties+xml"/>
  <Override PartName="/xl/drawings/drawing36.xml" ContentType="application/vnd.openxmlformats-officedocument.drawing+xml"/>
  <Override PartName="/xl/ctrlProps/ctrlProp36.xml" ContentType="application/vnd.ms-excel.controlproperties+xml"/>
  <Override PartName="/xl/drawings/drawing37.xml" ContentType="application/vnd.openxmlformats-officedocument.drawing+xml"/>
  <Override PartName="/xl/ctrlProps/ctrlProp37.xml" ContentType="application/vnd.ms-excel.controlproperties+xml"/>
  <Override PartName="/xl/drawings/drawing38.xml" ContentType="application/vnd.openxmlformats-officedocument.drawing+xml"/>
  <Override PartName="/xl/ctrlProps/ctrlProp38.xml" ContentType="application/vnd.ms-excel.controlproperties+xml"/>
  <Override PartName="/xl/drawings/drawing3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44.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04　精神科在院患者調査\R3 精神科在院患者調査\08 データ提供\03 ホームページ掲載用\"/>
    </mc:Choice>
  </mc:AlternateContent>
  <bookViews>
    <workbookView xWindow="0" yWindow="0" windowWidth="20490" windowHeight="7530" tabRatio="831"/>
  </bookViews>
  <sheets>
    <sheet name="巻末資料表紙" sheetId="171" r:id="rId1"/>
    <sheet name="2-Ⅰ" sheetId="88" r:id="rId2"/>
    <sheet name="２-Ⅱ" sheetId="89" r:id="rId3"/>
    <sheet name="２-Ⅲ" sheetId="90" r:id="rId4"/>
    <sheet name="２-Ⅳ" sheetId="91" r:id="rId5"/>
    <sheet name="２-Ⅴ" sheetId="93" r:id="rId6"/>
    <sheet name="２-Ⅵ" sheetId="95" r:id="rId7"/>
    <sheet name="３-Ⅰ" sheetId="98" r:id="rId8"/>
    <sheet name="３-Ⅱ" sheetId="99" r:id="rId9"/>
    <sheet name="３-Ⅲ" sheetId="100" r:id="rId10"/>
    <sheet name="３-Ⅳ" sheetId="102" r:id="rId11"/>
    <sheet name="３-Ⅴ" sheetId="104" r:id="rId12"/>
    <sheet name="４-Ⅰ" sheetId="79" r:id="rId13"/>
    <sheet name="４-Ⅱ" sheetId="80" r:id="rId14"/>
    <sheet name="４-Ⅲ" sheetId="81" r:id="rId15"/>
    <sheet name="４-Ⅳ" sheetId="82" r:id="rId16"/>
    <sheet name="４-Ⅴ" sheetId="84" r:id="rId17"/>
    <sheet name="４-Ⅵ" sheetId="85" r:id="rId18"/>
    <sheet name="5-Ⅰ①" sheetId="150" r:id="rId19"/>
    <sheet name="５-Ⅰ②" sheetId="113" r:id="rId20"/>
    <sheet name="５-Ⅰ③" sheetId="114" r:id="rId21"/>
    <sheet name="５-Ⅱ①" sheetId="120" r:id="rId22"/>
    <sheet name="５-Ⅱ②" sheetId="121" r:id="rId23"/>
    <sheet name="５-Ⅱ③" sheetId="122" r:id="rId24"/>
    <sheet name="５-Ⅱ④" sheetId="123" r:id="rId25"/>
    <sheet name="6-Ⅰ①" sheetId="157" r:id="rId26"/>
    <sheet name="6-Ⅰ②" sheetId="158" r:id="rId27"/>
    <sheet name="6-Ⅰ③" sheetId="159" r:id="rId28"/>
    <sheet name="6-Ⅰ④ " sheetId="160" r:id="rId29"/>
    <sheet name="6-Ⅰ⑤" sheetId="161" r:id="rId30"/>
    <sheet name="6-Ⅰ⑥ " sheetId="162" r:id="rId31"/>
    <sheet name="6-Ⅱ①" sheetId="163" r:id="rId32"/>
    <sheet name="6-Ⅱ②" sheetId="164" r:id="rId33"/>
    <sheet name="6-Ⅱ③" sheetId="165" r:id="rId34"/>
    <sheet name="6-Ⅱ④" sheetId="166" r:id="rId35"/>
    <sheet name="6-Ⅱ⑤" sheetId="167" r:id="rId36"/>
    <sheet name="6-Ⅱ⑥" sheetId="168" r:id="rId37"/>
    <sheet name="6-Ⅲ" sheetId="169" r:id="rId38"/>
    <sheet name="6-Ⅳ" sheetId="170" r:id="rId39"/>
    <sheet name="グラフ(年齢区分）" sheetId="151" r:id="rId40"/>
    <sheet name="グラフ(疾患名)" sheetId="152" r:id="rId41"/>
    <sheet name="グラフ(在院期間) " sheetId="153" r:id="rId42"/>
    <sheet name="グラフ(在院期間)  (2)" sheetId="172" r:id="rId43"/>
    <sheet name="グラフ(退院阻害要因＿１) " sheetId="155" r:id="rId44"/>
    <sheet name="グラフ(退院阻害要因＿２）" sheetId="156" r:id="rId45"/>
  </sheets>
  <definedNames>
    <definedName name="_xlnm.Print_Area" localSheetId="1">'2-Ⅰ'!$A$1:$I$16</definedName>
    <definedName name="_xlnm.Print_Area" localSheetId="2">'２-Ⅱ'!$A$1:$E$21</definedName>
    <definedName name="_xlnm.Print_Area" localSheetId="3">'２-Ⅲ'!$A$1:$K$20</definedName>
    <definedName name="_xlnm.Print_Area" localSheetId="4">'２-Ⅳ'!$A$1:$I$25</definedName>
    <definedName name="_xlnm.Print_Area" localSheetId="5">'２-Ⅴ'!$A$1:$C$11</definedName>
    <definedName name="_xlnm.Print_Area" localSheetId="6">'２-Ⅵ'!$A$1:$I$40</definedName>
    <definedName name="_xlnm.Print_Area" localSheetId="7">'３-Ⅰ'!$A$1:$I$17</definedName>
    <definedName name="_xlnm.Print_Area" localSheetId="8">'３-Ⅱ'!$A$1:$E$21</definedName>
    <definedName name="_xlnm.Print_Area" localSheetId="9">'３-Ⅲ'!$A$1:$K$20</definedName>
    <definedName name="_xlnm.Print_Area" localSheetId="10">'３-Ⅳ'!$A$1:$C$11</definedName>
    <definedName name="_xlnm.Print_Area" localSheetId="11">'３-Ⅴ'!$A$1:$I$41</definedName>
    <definedName name="_xlnm.Print_Area" localSheetId="12">'４-Ⅰ'!$A$1:$G$13</definedName>
    <definedName name="_xlnm.Print_Area" localSheetId="13">'４-Ⅱ'!$A$1:$C$21</definedName>
    <definedName name="_xlnm.Print_Area" localSheetId="14">'４-Ⅲ'!$B$1:$H$41</definedName>
    <definedName name="_xlnm.Print_Area" localSheetId="15">'４-Ⅳ'!$A$1:$H$26</definedName>
    <definedName name="_xlnm.Print_Area" localSheetId="16">'４-Ⅴ'!$A$1:$F$23</definedName>
    <definedName name="_xlnm.Print_Area" localSheetId="17">'４-Ⅵ'!$A$1:$K$39</definedName>
    <definedName name="_xlnm.Print_Area" localSheetId="18">'5-Ⅰ①'!$B$1:$F$63</definedName>
    <definedName name="_xlnm.Print_Area" localSheetId="19">'５-Ⅰ②'!$B$1:$J$63</definedName>
    <definedName name="_xlnm.Print_Area" localSheetId="20">'５-Ⅰ③'!$A$1:$J$65</definedName>
    <definedName name="_xlnm.Print_Area" localSheetId="21">'５-Ⅱ①'!$B$1:$M$31</definedName>
    <definedName name="_xlnm.Print_Area" localSheetId="22">'５-Ⅱ②'!$B$1:$M$31</definedName>
    <definedName name="_xlnm.Print_Area" localSheetId="23">'５-Ⅱ③'!$B$1:$L$33</definedName>
    <definedName name="_xlnm.Print_Area" localSheetId="24">'５-Ⅱ④'!$B$1:$M$31</definedName>
    <definedName name="_xlnm.Print_Area" localSheetId="25">'6-Ⅰ①'!$A$1:$J$27</definedName>
    <definedName name="_xlnm.Print_Area" localSheetId="26">'6-Ⅰ②'!$A$1:$J$15</definedName>
    <definedName name="_xlnm.Print_Area" localSheetId="27">'6-Ⅰ③'!$A$1:$J$35</definedName>
    <definedName name="_xlnm.Print_Area" localSheetId="28">'6-Ⅰ④ '!$A$1:$J$45</definedName>
    <definedName name="_xlnm.Print_Area" localSheetId="29">'6-Ⅰ⑤'!$A$1:$J$17</definedName>
    <definedName name="_xlnm.Print_Area" localSheetId="30">'6-Ⅰ⑥ '!$A$1:$J$59</definedName>
    <definedName name="_xlnm.Print_Area" localSheetId="31">'6-Ⅱ①'!$A$1:$K$27</definedName>
    <definedName name="_xlnm.Print_Area" localSheetId="32">'6-Ⅱ②'!$A$1:$K$15</definedName>
    <definedName name="_xlnm.Print_Area" localSheetId="33">'6-Ⅱ③'!$A$1:$K$35</definedName>
    <definedName name="_xlnm.Print_Area" localSheetId="34">'6-Ⅱ④'!$A$1:$K$45</definedName>
    <definedName name="_xlnm.Print_Area" localSheetId="35">'6-Ⅱ⑤'!$A$1:$K$17</definedName>
    <definedName name="_xlnm.Print_Area" localSheetId="36">'6-Ⅱ⑥'!$A$1:$K$59</definedName>
    <definedName name="_xlnm.Print_Area" localSheetId="37">'6-Ⅲ'!$A$1:$K$45</definedName>
    <definedName name="_xlnm.Print_Area" localSheetId="38">'6-Ⅳ'!$B$1:$Q$89</definedName>
    <definedName name="_xlnm.Print_Area" localSheetId="41">'グラフ(在院期間) '!$A$1:$J$44</definedName>
    <definedName name="_xlnm.Print_Area" localSheetId="42">'グラフ(在院期間)  (2)'!$A$1:$J$44</definedName>
    <definedName name="_xlnm.Print_Area" localSheetId="40">'グラフ(疾患名)'!$A$1:$K$61</definedName>
    <definedName name="_xlnm.Print_Area" localSheetId="43">'グラフ(退院阻害要因＿１) '!$A$1:$G$23</definedName>
    <definedName name="_xlnm.Print_Area" localSheetId="44">'グラフ(退院阻害要因＿２）'!$A$1:$I$88</definedName>
    <definedName name="_xlnm.Print_Area" localSheetId="39">'グラフ(年齢区分）'!$A$1:$K$62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4" i="169" l="1"/>
  <c r="AS45" i="169"/>
  <c r="AR45" i="169"/>
  <c r="AQ45" i="169"/>
  <c r="AP45" i="169"/>
  <c r="AO45" i="169"/>
  <c r="AN45" i="169"/>
  <c r="AM45" i="169"/>
  <c r="AL45" i="169"/>
  <c r="AK45" i="169"/>
  <c r="AS44" i="169"/>
  <c r="AR44" i="169"/>
  <c r="AQ44" i="169"/>
  <c r="AP44" i="169"/>
  <c r="AO44" i="169"/>
  <c r="AN44" i="169"/>
  <c r="AM44" i="169"/>
  <c r="AL44" i="169"/>
  <c r="AK44" i="169"/>
  <c r="AK42" i="169"/>
  <c r="B32" i="159" l="1"/>
  <c r="I24" i="95" l="1"/>
  <c r="I23" i="95"/>
  <c r="B6" i="165" l="1"/>
  <c r="C6" i="165"/>
  <c r="D6" i="165"/>
  <c r="E6" i="165"/>
  <c r="F6" i="165"/>
  <c r="G6" i="165"/>
  <c r="H6" i="165"/>
  <c r="I6" i="165"/>
  <c r="J6" i="165"/>
  <c r="B8" i="165"/>
  <c r="C8" i="165"/>
  <c r="D8" i="165"/>
  <c r="E8" i="165"/>
  <c r="F8" i="165"/>
  <c r="G8" i="165"/>
  <c r="H8" i="165"/>
  <c r="I8" i="165"/>
  <c r="J8" i="165"/>
  <c r="B10" i="165"/>
  <c r="C10" i="165"/>
  <c r="D10" i="165"/>
  <c r="E10" i="165"/>
  <c r="F10" i="165"/>
  <c r="G10" i="165"/>
  <c r="H10" i="165"/>
  <c r="I10" i="165"/>
  <c r="J10" i="165"/>
  <c r="B12" i="165"/>
  <c r="C12" i="165"/>
  <c r="D12" i="165"/>
  <c r="E12" i="165"/>
  <c r="F12" i="165"/>
  <c r="G12" i="165"/>
  <c r="H12" i="165"/>
  <c r="I12" i="165"/>
  <c r="J12" i="165"/>
  <c r="B14" i="165"/>
  <c r="C14" i="165"/>
  <c r="D14" i="165"/>
  <c r="E14" i="165"/>
  <c r="F14" i="165"/>
  <c r="G14" i="165"/>
  <c r="H14" i="165"/>
  <c r="I14" i="165"/>
  <c r="J14" i="165"/>
  <c r="B16" i="165"/>
  <c r="C16" i="165"/>
  <c r="D16" i="165"/>
  <c r="E16" i="165"/>
  <c r="F16" i="165"/>
  <c r="G16" i="165"/>
  <c r="H16" i="165"/>
  <c r="I16" i="165"/>
  <c r="J16" i="165"/>
  <c r="B18" i="165"/>
  <c r="C18" i="165"/>
  <c r="D18" i="165"/>
  <c r="E18" i="165"/>
  <c r="F18" i="165"/>
  <c r="G18" i="165"/>
  <c r="H18" i="165"/>
  <c r="I18" i="165"/>
  <c r="J18" i="165"/>
  <c r="B20" i="165"/>
  <c r="C20" i="165"/>
  <c r="D20" i="165"/>
  <c r="E20" i="165"/>
  <c r="F20" i="165"/>
  <c r="G20" i="165"/>
  <c r="H20" i="165"/>
  <c r="I20" i="165"/>
  <c r="J20" i="165"/>
  <c r="B22" i="165"/>
  <c r="C22" i="165"/>
  <c r="D22" i="165"/>
  <c r="E22" i="165"/>
  <c r="F22" i="165"/>
  <c r="G22" i="165"/>
  <c r="H22" i="165"/>
  <c r="I22" i="165"/>
  <c r="J22" i="165"/>
  <c r="B24" i="165"/>
  <c r="C24" i="165"/>
  <c r="D24" i="165"/>
  <c r="E24" i="165"/>
  <c r="F24" i="165"/>
  <c r="G24" i="165"/>
  <c r="H24" i="165"/>
  <c r="I24" i="165"/>
  <c r="J24" i="165"/>
  <c r="B26" i="165"/>
  <c r="C26" i="165"/>
  <c r="D26" i="165"/>
  <c r="E26" i="165"/>
  <c r="F26" i="165"/>
  <c r="G26" i="165"/>
  <c r="H26" i="165"/>
  <c r="I26" i="165"/>
  <c r="J26" i="165"/>
  <c r="B28" i="165"/>
  <c r="C28" i="165"/>
  <c r="D28" i="165"/>
  <c r="E28" i="165"/>
  <c r="F28" i="165"/>
  <c r="G28" i="165"/>
  <c r="H28" i="165"/>
  <c r="I28" i="165"/>
  <c r="J28" i="165"/>
  <c r="B30" i="165"/>
  <c r="C30" i="165"/>
  <c r="D30" i="165"/>
  <c r="E30" i="165"/>
  <c r="F30" i="165"/>
  <c r="G30" i="165"/>
  <c r="H30" i="165"/>
  <c r="I30" i="165"/>
  <c r="J30" i="165"/>
  <c r="B32" i="165"/>
  <c r="C32" i="165"/>
  <c r="D32" i="165"/>
  <c r="E32" i="165"/>
  <c r="F32" i="165"/>
  <c r="G32" i="165"/>
  <c r="H32" i="165"/>
  <c r="I32" i="165"/>
  <c r="J32" i="165"/>
  <c r="C5" i="114"/>
  <c r="E5" i="114"/>
  <c r="F5" i="114"/>
  <c r="G5" i="114"/>
  <c r="I5" i="114"/>
  <c r="J5" i="114"/>
  <c r="K5" i="114"/>
  <c r="C6" i="114"/>
  <c r="E6" i="114"/>
  <c r="G6" i="114"/>
  <c r="I6" i="114"/>
  <c r="K6" i="114"/>
  <c r="C7" i="114"/>
  <c r="E7" i="114"/>
  <c r="G7" i="114"/>
  <c r="I7" i="114"/>
  <c r="K7" i="114"/>
  <c r="C8" i="114"/>
  <c r="D7" i="114" s="1"/>
  <c r="E8" i="114"/>
  <c r="F6" i="114" s="1"/>
  <c r="G8" i="114"/>
  <c r="H7" i="114" s="1"/>
  <c r="I8" i="114"/>
  <c r="J6" i="114" s="1"/>
  <c r="K12" i="165" l="1"/>
  <c r="K6" i="165"/>
  <c r="K18" i="165"/>
  <c r="K10" i="165"/>
  <c r="K32" i="165"/>
  <c r="K30" i="165"/>
  <c r="K14" i="165"/>
  <c r="K20" i="165"/>
  <c r="K26" i="165"/>
  <c r="K24" i="165"/>
  <c r="K16" i="165"/>
  <c r="K8" i="165"/>
  <c r="K28" i="165"/>
  <c r="K22" i="165"/>
  <c r="F8" i="114"/>
  <c r="K8" i="114"/>
  <c r="H6" i="114"/>
  <c r="D6" i="114"/>
  <c r="J7" i="114"/>
  <c r="J8" i="114" s="1"/>
  <c r="F7" i="114"/>
  <c r="H5" i="114"/>
  <c r="H8" i="114" s="1"/>
  <c r="D5" i="114"/>
  <c r="D8" i="114" s="1"/>
  <c r="L15" i="123"/>
  <c r="K8" i="85"/>
  <c r="C10" i="99"/>
  <c r="Q89" i="170" l="1"/>
  <c r="P82" i="170" l="1"/>
  <c r="B4" i="164"/>
  <c r="B18" i="157" l="1"/>
  <c r="I30" i="122" l="1"/>
  <c r="I29" i="122"/>
  <c r="I28" i="122"/>
  <c r="I27" i="122"/>
  <c r="I26" i="122"/>
  <c r="I25" i="122"/>
  <c r="I24" i="122"/>
  <c r="I23" i="122"/>
  <c r="I22" i="122"/>
  <c r="I31" i="122" s="1"/>
  <c r="AE4" i="157" l="1"/>
  <c r="AE5" i="157"/>
  <c r="AE6" i="157"/>
  <c r="AE7" i="157"/>
  <c r="AE8" i="157"/>
  <c r="AE9" i="157"/>
  <c r="AE10" i="157"/>
  <c r="AE11" i="157"/>
  <c r="AE12" i="157"/>
  <c r="M13" i="157"/>
  <c r="N13" i="157"/>
  <c r="O13" i="157"/>
  <c r="P13" i="157"/>
  <c r="Q13" i="157"/>
  <c r="R13" i="157"/>
  <c r="S13" i="157"/>
  <c r="T13" i="157"/>
  <c r="U13" i="157"/>
  <c r="V13" i="157"/>
  <c r="W13" i="157"/>
  <c r="X13" i="157"/>
  <c r="Y13" i="157"/>
  <c r="Z13" i="157"/>
  <c r="AA13" i="157"/>
  <c r="AB13" i="157"/>
  <c r="AC13" i="157"/>
  <c r="AD13" i="157"/>
  <c r="AE13" i="157" l="1"/>
  <c r="E20" i="120"/>
  <c r="C81" i="170" l="1"/>
  <c r="B24" i="162"/>
  <c r="B14" i="162"/>
  <c r="AD11" i="158"/>
  <c r="AC11" i="158"/>
  <c r="AB11" i="158"/>
  <c r="AA11" i="158"/>
  <c r="Z11" i="158"/>
  <c r="Y11" i="158"/>
  <c r="X11" i="158"/>
  <c r="W11" i="158"/>
  <c r="V11" i="158"/>
  <c r="U11" i="158"/>
  <c r="T11" i="158"/>
  <c r="S11" i="158"/>
  <c r="R11" i="158"/>
  <c r="Q11" i="158"/>
  <c r="P11" i="158"/>
  <c r="O11" i="158"/>
  <c r="N11" i="158"/>
  <c r="M11" i="158"/>
  <c r="AE16" i="157"/>
  <c r="AE15" i="157"/>
  <c r="E11" i="113" l="1"/>
  <c r="E10" i="113"/>
  <c r="F10" i="79" l="1"/>
  <c r="F9" i="79"/>
  <c r="F8" i="79"/>
  <c r="F7" i="79"/>
  <c r="F6" i="79"/>
  <c r="E12" i="121" l="1"/>
  <c r="E11" i="121"/>
  <c r="E10" i="121"/>
  <c r="E9" i="121"/>
  <c r="E8" i="121"/>
  <c r="E7" i="121"/>
  <c r="E6" i="121"/>
  <c r="E5" i="121"/>
  <c r="E4" i="121"/>
  <c r="G12" i="121" l="1"/>
  <c r="G11" i="121"/>
  <c r="G10" i="121"/>
  <c r="G9" i="121"/>
  <c r="G8" i="121"/>
  <c r="G7" i="121"/>
  <c r="G6" i="121"/>
  <c r="G5" i="121"/>
  <c r="G4" i="121"/>
  <c r="E43" i="113" l="1"/>
  <c r="E42" i="113"/>
  <c r="F5" i="79" l="1"/>
  <c r="G28" i="120" l="1"/>
  <c r="G27" i="120"/>
  <c r="G26" i="120"/>
  <c r="G25" i="120"/>
  <c r="G24" i="120"/>
  <c r="G23" i="120"/>
  <c r="G22" i="120"/>
  <c r="G21" i="120"/>
  <c r="G20" i="120"/>
  <c r="C31" i="121" l="1"/>
  <c r="C33" i="122" l="1"/>
  <c r="E33" i="122"/>
  <c r="E32" i="122"/>
  <c r="C32" i="122"/>
  <c r="G31" i="121"/>
  <c r="G30" i="121"/>
  <c r="E31" i="121"/>
  <c r="E30" i="121"/>
  <c r="C30" i="121"/>
  <c r="O89" i="170" l="1"/>
  <c r="N89" i="170"/>
  <c r="M89" i="170"/>
  <c r="L89" i="170"/>
  <c r="K89" i="170"/>
  <c r="J89" i="170"/>
  <c r="H89" i="170"/>
  <c r="G89" i="170"/>
  <c r="F89" i="170"/>
  <c r="E89" i="170"/>
  <c r="D89" i="170"/>
  <c r="C89" i="170"/>
  <c r="P88" i="170"/>
  <c r="I88" i="170"/>
  <c r="P87" i="170"/>
  <c r="I87" i="170"/>
  <c r="P86" i="170"/>
  <c r="I86" i="170"/>
  <c r="Q86" i="170" s="1"/>
  <c r="P85" i="170"/>
  <c r="I85" i="170"/>
  <c r="P84" i="170"/>
  <c r="I84" i="170"/>
  <c r="Q84" i="170" s="1"/>
  <c r="P83" i="170"/>
  <c r="I83" i="170"/>
  <c r="I82" i="170"/>
  <c r="O81" i="170"/>
  <c r="N81" i="170"/>
  <c r="M81" i="170"/>
  <c r="L81" i="170"/>
  <c r="K81" i="170"/>
  <c r="J81" i="170"/>
  <c r="H81" i="170"/>
  <c r="G81" i="170"/>
  <c r="F81" i="170"/>
  <c r="E81" i="170"/>
  <c r="D81" i="170"/>
  <c r="P80" i="170"/>
  <c r="I80" i="170"/>
  <c r="P79" i="170"/>
  <c r="I79" i="170"/>
  <c r="P78" i="170"/>
  <c r="I78" i="170"/>
  <c r="P77" i="170"/>
  <c r="I77" i="170"/>
  <c r="P76" i="170"/>
  <c r="I76" i="170"/>
  <c r="P75" i="170"/>
  <c r="I75" i="170"/>
  <c r="P74" i="170"/>
  <c r="I74" i="170"/>
  <c r="Q74" i="170" s="1"/>
  <c r="O73" i="170"/>
  <c r="N73" i="170"/>
  <c r="M73" i="170"/>
  <c r="L73" i="170"/>
  <c r="K73" i="170"/>
  <c r="J73" i="170"/>
  <c r="H73" i="170"/>
  <c r="G73" i="170"/>
  <c r="F73" i="170"/>
  <c r="E73" i="170"/>
  <c r="D73" i="170"/>
  <c r="C73" i="170"/>
  <c r="P72" i="170"/>
  <c r="I72" i="170"/>
  <c r="P71" i="170"/>
  <c r="I71" i="170"/>
  <c r="P70" i="170"/>
  <c r="I70" i="170"/>
  <c r="P69" i="170"/>
  <c r="I69" i="170"/>
  <c r="Q69" i="170" s="1"/>
  <c r="P68" i="170"/>
  <c r="I68" i="170"/>
  <c r="P67" i="170"/>
  <c r="I67" i="170"/>
  <c r="P66" i="170"/>
  <c r="I66" i="170"/>
  <c r="P65" i="170"/>
  <c r="I65" i="170"/>
  <c r="Q65" i="170" s="1"/>
  <c r="P64" i="170"/>
  <c r="I64" i="170"/>
  <c r="P63" i="170"/>
  <c r="I63" i="170"/>
  <c r="P62" i="170"/>
  <c r="I62" i="170"/>
  <c r="P61" i="170"/>
  <c r="I61" i="170"/>
  <c r="Q61" i="170" s="1"/>
  <c r="P60" i="170"/>
  <c r="I60" i="170"/>
  <c r="P59" i="170"/>
  <c r="I59" i="170"/>
  <c r="P58" i="170"/>
  <c r="I58" i="170"/>
  <c r="P57" i="170"/>
  <c r="I57" i="170"/>
  <c r="P56" i="170"/>
  <c r="I56" i="170"/>
  <c r="P55" i="170"/>
  <c r="I55" i="170"/>
  <c r="P54" i="170"/>
  <c r="I54" i="170"/>
  <c r="P53" i="170"/>
  <c r="I53" i="170"/>
  <c r="Q53" i="170" s="1"/>
  <c r="P52" i="170"/>
  <c r="I52" i="170"/>
  <c r="P51" i="170"/>
  <c r="I51" i="170"/>
  <c r="P50" i="170"/>
  <c r="I50" i="170"/>
  <c r="P49" i="170"/>
  <c r="I49" i="170"/>
  <c r="Q49" i="170" s="1"/>
  <c r="O48" i="170"/>
  <c r="N48" i="170"/>
  <c r="M48" i="170"/>
  <c r="L48" i="170"/>
  <c r="K48" i="170"/>
  <c r="J48" i="170"/>
  <c r="H48" i="170"/>
  <c r="G48" i="170"/>
  <c r="F48" i="170"/>
  <c r="E48" i="170"/>
  <c r="D48" i="170"/>
  <c r="C48" i="170"/>
  <c r="P45" i="170"/>
  <c r="I45" i="170"/>
  <c r="P44" i="170"/>
  <c r="I44" i="170"/>
  <c r="P43" i="170"/>
  <c r="I43" i="170"/>
  <c r="P42" i="170"/>
  <c r="I42" i="170"/>
  <c r="P41" i="170"/>
  <c r="I41" i="170"/>
  <c r="P40" i="170"/>
  <c r="I40" i="170"/>
  <c r="P39" i="170"/>
  <c r="I39" i="170"/>
  <c r="P38" i="170"/>
  <c r="I38" i="170"/>
  <c r="P37" i="170"/>
  <c r="I37" i="170"/>
  <c r="P36" i="170"/>
  <c r="I36" i="170"/>
  <c r="P35" i="170"/>
  <c r="I35" i="170"/>
  <c r="Q35" i="170" s="1"/>
  <c r="P34" i="170"/>
  <c r="I34" i="170"/>
  <c r="P33" i="170"/>
  <c r="I33" i="170"/>
  <c r="P32" i="170"/>
  <c r="I32" i="170"/>
  <c r="P31" i="170"/>
  <c r="I31" i="170"/>
  <c r="Q31" i="170" s="1"/>
  <c r="P30" i="170"/>
  <c r="I30" i="170"/>
  <c r="P29" i="170"/>
  <c r="I29" i="170"/>
  <c r="P28" i="170"/>
  <c r="I28" i="170"/>
  <c r="P27" i="170"/>
  <c r="I27" i="170"/>
  <c r="P26" i="170"/>
  <c r="I26" i="170"/>
  <c r="P25" i="170"/>
  <c r="I25" i="170"/>
  <c r="P24" i="170"/>
  <c r="I24" i="170"/>
  <c r="P23" i="170"/>
  <c r="I23" i="170"/>
  <c r="P22" i="170"/>
  <c r="I22" i="170"/>
  <c r="P21" i="170"/>
  <c r="I21" i="170"/>
  <c r="P20" i="170"/>
  <c r="I20" i="170"/>
  <c r="P19" i="170"/>
  <c r="I19" i="170"/>
  <c r="P18" i="170"/>
  <c r="I18" i="170"/>
  <c r="P17" i="170"/>
  <c r="I17" i="170"/>
  <c r="P16" i="170"/>
  <c r="I16" i="170"/>
  <c r="P15" i="170"/>
  <c r="I15" i="170"/>
  <c r="P14" i="170"/>
  <c r="I14" i="170"/>
  <c r="P13" i="170"/>
  <c r="I13" i="170"/>
  <c r="P12" i="170"/>
  <c r="I12" i="170"/>
  <c r="P11" i="170"/>
  <c r="I11" i="170"/>
  <c r="P10" i="170"/>
  <c r="I10" i="170"/>
  <c r="P9" i="170"/>
  <c r="I9" i="170"/>
  <c r="P8" i="170"/>
  <c r="I8" i="170"/>
  <c r="P7" i="170"/>
  <c r="I7" i="170"/>
  <c r="P6" i="170"/>
  <c r="I6" i="170"/>
  <c r="P5" i="170"/>
  <c r="I5" i="170"/>
  <c r="I42" i="169"/>
  <c r="H42" i="169"/>
  <c r="E42" i="169"/>
  <c r="D42" i="169"/>
  <c r="J40" i="169"/>
  <c r="G40" i="169"/>
  <c r="F40" i="169"/>
  <c r="D40" i="169"/>
  <c r="C40" i="169"/>
  <c r="B40" i="169"/>
  <c r="AS43" i="169"/>
  <c r="AR43" i="169"/>
  <c r="AQ43" i="169"/>
  <c r="AP43" i="169"/>
  <c r="AO43" i="169"/>
  <c r="AN43" i="169"/>
  <c r="AM43" i="169"/>
  <c r="AL43" i="169"/>
  <c r="AK43" i="169"/>
  <c r="AS42" i="169"/>
  <c r="AR42" i="169"/>
  <c r="AQ42" i="169"/>
  <c r="AP42" i="169"/>
  <c r="AO42" i="169"/>
  <c r="AN42" i="169"/>
  <c r="AM42" i="169"/>
  <c r="AL42" i="169"/>
  <c r="J42" i="169"/>
  <c r="G42" i="169"/>
  <c r="F42" i="169"/>
  <c r="C42" i="169"/>
  <c r="B42" i="169"/>
  <c r="AS41" i="169"/>
  <c r="AR41" i="169"/>
  <c r="AQ41" i="169"/>
  <c r="AP41" i="169"/>
  <c r="AO41" i="169"/>
  <c r="AN41" i="169"/>
  <c r="AM41" i="169"/>
  <c r="AL41" i="169"/>
  <c r="AK41" i="169"/>
  <c r="AS40" i="169"/>
  <c r="AR40" i="169"/>
  <c r="AQ40" i="169"/>
  <c r="AP40" i="169"/>
  <c r="AO40" i="169"/>
  <c r="AN40" i="169"/>
  <c r="AM40" i="169"/>
  <c r="AL40" i="169"/>
  <c r="AK40" i="169"/>
  <c r="I40" i="169"/>
  <c r="H40" i="169"/>
  <c r="E40" i="169"/>
  <c r="AS39" i="169"/>
  <c r="J36" i="169" s="1"/>
  <c r="AR39" i="169"/>
  <c r="I36" i="169" s="1"/>
  <c r="AQ39" i="169"/>
  <c r="AP39" i="169"/>
  <c r="AO39" i="169"/>
  <c r="F36" i="169" s="1"/>
  <c r="AN39" i="169"/>
  <c r="E36" i="169" s="1"/>
  <c r="AM39" i="169"/>
  <c r="AL39" i="169"/>
  <c r="AK39" i="169"/>
  <c r="B36" i="169" s="1"/>
  <c r="AS38" i="169"/>
  <c r="AR38" i="169"/>
  <c r="AQ38" i="169"/>
  <c r="AP38" i="169"/>
  <c r="AO38" i="169"/>
  <c r="AN38" i="169"/>
  <c r="AM38" i="169"/>
  <c r="AL38" i="169"/>
  <c r="AK38" i="169"/>
  <c r="AS37" i="169"/>
  <c r="AR37" i="169"/>
  <c r="AQ37" i="169"/>
  <c r="AP37" i="169"/>
  <c r="AO37" i="169"/>
  <c r="AN37" i="169"/>
  <c r="AM37" i="169"/>
  <c r="AL37" i="169"/>
  <c r="AK37" i="169"/>
  <c r="AS36" i="169"/>
  <c r="AR36" i="169"/>
  <c r="AQ36" i="169"/>
  <c r="AP36" i="169"/>
  <c r="AO36" i="169"/>
  <c r="AN36" i="169"/>
  <c r="AM36" i="169"/>
  <c r="AL36" i="169"/>
  <c r="AK36" i="169"/>
  <c r="AS35" i="169"/>
  <c r="AR35" i="169"/>
  <c r="AQ35" i="169"/>
  <c r="AP35" i="169"/>
  <c r="AO35" i="169"/>
  <c r="AN35" i="169"/>
  <c r="AM35" i="169"/>
  <c r="AL35" i="169"/>
  <c r="AK35" i="169"/>
  <c r="AS34" i="169"/>
  <c r="AR34" i="169"/>
  <c r="AQ34" i="169"/>
  <c r="AP34" i="169"/>
  <c r="AO34" i="169"/>
  <c r="AN34" i="169"/>
  <c r="AM34" i="169"/>
  <c r="AL34" i="169"/>
  <c r="AK34" i="169"/>
  <c r="AS33" i="169"/>
  <c r="AR33" i="169"/>
  <c r="AQ33" i="169"/>
  <c r="AP33" i="169"/>
  <c r="AO33" i="169"/>
  <c r="AN33" i="169"/>
  <c r="AM33" i="169"/>
  <c r="AL33" i="169"/>
  <c r="AK33" i="169"/>
  <c r="AS32" i="169"/>
  <c r="AR32" i="169"/>
  <c r="AQ32" i="169"/>
  <c r="AP32" i="169"/>
  <c r="AO32" i="169"/>
  <c r="AN32" i="169"/>
  <c r="AM32" i="169"/>
  <c r="AL32" i="169"/>
  <c r="AK32" i="169"/>
  <c r="AS31" i="169"/>
  <c r="AR31" i="169"/>
  <c r="AQ31" i="169"/>
  <c r="AP31" i="169"/>
  <c r="AO31" i="169"/>
  <c r="AN31" i="169"/>
  <c r="AM31" i="169"/>
  <c r="AL31" i="169"/>
  <c r="AK31" i="169"/>
  <c r="AS30" i="169"/>
  <c r="AR30" i="169"/>
  <c r="AQ30" i="169"/>
  <c r="AP30" i="169"/>
  <c r="AO30" i="169"/>
  <c r="AN30" i="169"/>
  <c r="AM30" i="169"/>
  <c r="AL30" i="169"/>
  <c r="AK30" i="169"/>
  <c r="AS29" i="169"/>
  <c r="AR29" i="169"/>
  <c r="AQ29" i="169"/>
  <c r="AP29" i="169"/>
  <c r="AO29" i="169"/>
  <c r="AN29" i="169"/>
  <c r="AM29" i="169"/>
  <c r="AL29" i="169"/>
  <c r="AK29" i="169"/>
  <c r="AS28" i="169"/>
  <c r="AR28" i="169"/>
  <c r="AQ28" i="169"/>
  <c r="AP28" i="169"/>
  <c r="AO28" i="169"/>
  <c r="AN28" i="169"/>
  <c r="AM28" i="169"/>
  <c r="AL28" i="169"/>
  <c r="AK28" i="169"/>
  <c r="AS22" i="169"/>
  <c r="J19" i="169" s="1"/>
  <c r="AR22" i="169"/>
  <c r="I19" i="169" s="1"/>
  <c r="AQ22" i="169"/>
  <c r="H19" i="169" s="1"/>
  <c r="AP22" i="169"/>
  <c r="G19" i="169" s="1"/>
  <c r="AO22" i="169"/>
  <c r="F19" i="169" s="1"/>
  <c r="AN22" i="169"/>
  <c r="E19" i="169" s="1"/>
  <c r="AM22" i="169"/>
  <c r="D19" i="169" s="1"/>
  <c r="AL22" i="169"/>
  <c r="C19" i="169" s="1"/>
  <c r="AK22" i="169"/>
  <c r="B19" i="169" s="1"/>
  <c r="AS21" i="169"/>
  <c r="J17" i="169" s="1"/>
  <c r="AR21" i="169"/>
  <c r="I17" i="169" s="1"/>
  <c r="AQ21" i="169"/>
  <c r="H17" i="169" s="1"/>
  <c r="AP21" i="169"/>
  <c r="G17" i="169" s="1"/>
  <c r="AO21" i="169"/>
  <c r="F17" i="169" s="1"/>
  <c r="AN21" i="169"/>
  <c r="AM21" i="169"/>
  <c r="AL21" i="169"/>
  <c r="C17" i="169" s="1"/>
  <c r="AK21" i="169"/>
  <c r="B17" i="169" s="1"/>
  <c r="AS20" i="169"/>
  <c r="AR20" i="169"/>
  <c r="AQ20" i="169"/>
  <c r="AP20" i="169"/>
  <c r="AO20" i="169"/>
  <c r="AN20" i="169"/>
  <c r="AM20" i="169"/>
  <c r="AL20" i="169"/>
  <c r="AK20" i="169"/>
  <c r="AS19" i="169"/>
  <c r="AR19" i="169"/>
  <c r="AQ19" i="169"/>
  <c r="AP19" i="169"/>
  <c r="AO19" i="169"/>
  <c r="AN19" i="169"/>
  <c r="AM19" i="169"/>
  <c r="AL19" i="169"/>
  <c r="AK19" i="169"/>
  <c r="AS18" i="169"/>
  <c r="AR18" i="169"/>
  <c r="I15" i="169" s="1"/>
  <c r="AQ18" i="169"/>
  <c r="AP18" i="169"/>
  <c r="AO18" i="169"/>
  <c r="AN18" i="169"/>
  <c r="AM18" i="169"/>
  <c r="AL18" i="169"/>
  <c r="AK18" i="169"/>
  <c r="AS17" i="169"/>
  <c r="AR17" i="169"/>
  <c r="AQ17" i="169"/>
  <c r="AP17" i="169"/>
  <c r="AO17" i="169"/>
  <c r="AN17" i="169"/>
  <c r="AM17" i="169"/>
  <c r="AL17" i="169"/>
  <c r="AK17" i="169"/>
  <c r="E17" i="169"/>
  <c r="D17" i="169"/>
  <c r="AS16" i="169"/>
  <c r="AR16" i="169"/>
  <c r="AQ16" i="169"/>
  <c r="H13" i="169" s="1"/>
  <c r="AP16" i="169"/>
  <c r="AO16" i="169"/>
  <c r="AN16" i="169"/>
  <c r="AM16" i="169"/>
  <c r="D13" i="169" s="1"/>
  <c r="AL16" i="169"/>
  <c r="AK16" i="169"/>
  <c r="AS15" i="169"/>
  <c r="AR15" i="169"/>
  <c r="AQ15" i="169"/>
  <c r="AP15" i="169"/>
  <c r="AO15" i="169"/>
  <c r="AN15" i="169"/>
  <c r="E11" i="169" s="1"/>
  <c r="AM15" i="169"/>
  <c r="AL15" i="169"/>
  <c r="AK15" i="169"/>
  <c r="AS14" i="169"/>
  <c r="AR14" i="169"/>
  <c r="AQ14" i="169"/>
  <c r="AP14" i="169"/>
  <c r="G11" i="169" s="1"/>
  <c r="AO14" i="169"/>
  <c r="AN14" i="169"/>
  <c r="AM14" i="169"/>
  <c r="AL14" i="169"/>
  <c r="C11" i="169" s="1"/>
  <c r="AK14" i="169"/>
  <c r="AS13" i="169"/>
  <c r="AR13" i="169"/>
  <c r="AQ13" i="169"/>
  <c r="AP13" i="169"/>
  <c r="AO13" i="169"/>
  <c r="AN13" i="169"/>
  <c r="AM13" i="169"/>
  <c r="AL13" i="169"/>
  <c r="AK13" i="169"/>
  <c r="AS12" i="169"/>
  <c r="AR12" i="169"/>
  <c r="AQ12" i="169"/>
  <c r="AP12" i="169"/>
  <c r="AO12" i="169"/>
  <c r="AN12" i="169"/>
  <c r="AM12" i="169"/>
  <c r="AL12" i="169"/>
  <c r="AK12" i="169"/>
  <c r="AS11" i="169"/>
  <c r="AR11" i="169"/>
  <c r="AQ11" i="169"/>
  <c r="AP11" i="169"/>
  <c r="AO11" i="169"/>
  <c r="AN11" i="169"/>
  <c r="AM11" i="169"/>
  <c r="AL11" i="169"/>
  <c r="AK11" i="169"/>
  <c r="AS10" i="169"/>
  <c r="AR10" i="169"/>
  <c r="AQ10" i="169"/>
  <c r="AP10" i="169"/>
  <c r="AO10" i="169"/>
  <c r="AN10" i="169"/>
  <c r="AM10" i="169"/>
  <c r="AL10" i="169"/>
  <c r="AK10" i="169"/>
  <c r="AS9" i="169"/>
  <c r="AR9" i="169"/>
  <c r="AQ9" i="169"/>
  <c r="AP9" i="169"/>
  <c r="AO9" i="169"/>
  <c r="AN9" i="169"/>
  <c r="AM9" i="169"/>
  <c r="AL9" i="169"/>
  <c r="AK9" i="169"/>
  <c r="AS8" i="169"/>
  <c r="AR8" i="169"/>
  <c r="AQ8" i="169"/>
  <c r="AP8" i="169"/>
  <c r="AO8" i="169"/>
  <c r="AN8" i="169"/>
  <c r="AM8" i="169"/>
  <c r="AL8" i="169"/>
  <c r="AK8" i="169"/>
  <c r="AS7" i="169"/>
  <c r="AR7" i="169"/>
  <c r="AQ7" i="169"/>
  <c r="AP7" i="169"/>
  <c r="AO7" i="169"/>
  <c r="AN7" i="169"/>
  <c r="AM7" i="169"/>
  <c r="AL7" i="169"/>
  <c r="AK7" i="169"/>
  <c r="AS6" i="169"/>
  <c r="AR6" i="169"/>
  <c r="AQ6" i="169"/>
  <c r="AP6" i="169"/>
  <c r="AO6" i="169"/>
  <c r="AN6" i="169"/>
  <c r="AM6" i="169"/>
  <c r="AL6" i="169"/>
  <c r="AK6" i="169"/>
  <c r="AS5" i="169"/>
  <c r="AR5" i="169"/>
  <c r="AQ5" i="169"/>
  <c r="AP5" i="169"/>
  <c r="AO5" i="169"/>
  <c r="AN5" i="169"/>
  <c r="AM5" i="169"/>
  <c r="AL5" i="169"/>
  <c r="AK5" i="169"/>
  <c r="J58" i="168"/>
  <c r="I58" i="168"/>
  <c r="H58" i="168"/>
  <c r="G58" i="168"/>
  <c r="F58" i="168"/>
  <c r="E58" i="168"/>
  <c r="D58" i="168"/>
  <c r="C58" i="168"/>
  <c r="B58" i="168"/>
  <c r="J56" i="168"/>
  <c r="I56" i="168"/>
  <c r="H56" i="168"/>
  <c r="G56" i="168"/>
  <c r="F56" i="168"/>
  <c r="E56" i="168"/>
  <c r="D56" i="168"/>
  <c r="C56" i="168"/>
  <c r="B56" i="168"/>
  <c r="J54" i="168"/>
  <c r="I54" i="168"/>
  <c r="H54" i="168"/>
  <c r="G54" i="168"/>
  <c r="F54" i="168"/>
  <c r="E54" i="168"/>
  <c r="D54" i="168"/>
  <c r="C54" i="168"/>
  <c r="B54" i="168"/>
  <c r="J52" i="168"/>
  <c r="I52" i="168"/>
  <c r="H52" i="168"/>
  <c r="G52" i="168"/>
  <c r="F52" i="168"/>
  <c r="E52" i="168"/>
  <c r="D52" i="168"/>
  <c r="C52" i="168"/>
  <c r="B52" i="168"/>
  <c r="J50" i="168"/>
  <c r="I50" i="168"/>
  <c r="H50" i="168"/>
  <c r="G50" i="168"/>
  <c r="F50" i="168"/>
  <c r="E50" i="168"/>
  <c r="D50" i="168"/>
  <c r="C50" i="168"/>
  <c r="B50" i="168"/>
  <c r="J48" i="168"/>
  <c r="I48" i="168"/>
  <c r="H48" i="168"/>
  <c r="G48" i="168"/>
  <c r="F48" i="168"/>
  <c r="E48" i="168"/>
  <c r="D48" i="168"/>
  <c r="C48" i="168"/>
  <c r="B48" i="168"/>
  <c r="J46" i="168"/>
  <c r="I46" i="168"/>
  <c r="H46" i="168"/>
  <c r="G46" i="168"/>
  <c r="F46" i="168"/>
  <c r="E46" i="168"/>
  <c r="D46" i="168"/>
  <c r="C46" i="168"/>
  <c r="B46" i="168"/>
  <c r="J44" i="168"/>
  <c r="I44" i="168"/>
  <c r="H44" i="168"/>
  <c r="G44" i="168"/>
  <c r="F44" i="168"/>
  <c r="E44" i="168"/>
  <c r="D44" i="168"/>
  <c r="C44" i="168"/>
  <c r="B44" i="168"/>
  <c r="J42" i="168"/>
  <c r="I42" i="168"/>
  <c r="H42" i="168"/>
  <c r="G42" i="168"/>
  <c r="F42" i="168"/>
  <c r="E42" i="168"/>
  <c r="D42" i="168"/>
  <c r="C42" i="168"/>
  <c r="B42" i="168"/>
  <c r="J40" i="168"/>
  <c r="I40" i="168"/>
  <c r="H40" i="168"/>
  <c r="G40" i="168"/>
  <c r="F40" i="168"/>
  <c r="E40" i="168"/>
  <c r="D40" i="168"/>
  <c r="C40" i="168"/>
  <c r="B40" i="168"/>
  <c r="J38" i="168"/>
  <c r="I38" i="168"/>
  <c r="H38" i="168"/>
  <c r="G38" i="168"/>
  <c r="F38" i="168"/>
  <c r="E38" i="168"/>
  <c r="D38" i="168"/>
  <c r="C38" i="168"/>
  <c r="B38" i="168"/>
  <c r="J36" i="168"/>
  <c r="I36" i="168"/>
  <c r="H36" i="168"/>
  <c r="G36" i="168"/>
  <c r="F36" i="168"/>
  <c r="E36" i="168"/>
  <c r="D36" i="168"/>
  <c r="C36" i="168"/>
  <c r="B36" i="168"/>
  <c r="J34" i="168"/>
  <c r="I34" i="168"/>
  <c r="H34" i="168"/>
  <c r="G34" i="168"/>
  <c r="F34" i="168"/>
  <c r="E34" i="168"/>
  <c r="D34" i="168"/>
  <c r="C34" i="168"/>
  <c r="B34" i="168"/>
  <c r="J32" i="168"/>
  <c r="I32" i="168"/>
  <c r="H32" i="168"/>
  <c r="G32" i="168"/>
  <c r="F32" i="168"/>
  <c r="E32" i="168"/>
  <c r="D32" i="168"/>
  <c r="C32" i="168"/>
  <c r="B32" i="168"/>
  <c r="J30" i="168"/>
  <c r="I30" i="168"/>
  <c r="H30" i="168"/>
  <c r="G30" i="168"/>
  <c r="F30" i="168"/>
  <c r="E30" i="168"/>
  <c r="D30" i="168"/>
  <c r="C30" i="168"/>
  <c r="B30" i="168"/>
  <c r="J28" i="168"/>
  <c r="I28" i="168"/>
  <c r="H28" i="168"/>
  <c r="G28" i="168"/>
  <c r="F28" i="168"/>
  <c r="E28" i="168"/>
  <c r="D28" i="168"/>
  <c r="C28" i="168"/>
  <c r="B28" i="168"/>
  <c r="J26" i="168"/>
  <c r="I26" i="168"/>
  <c r="H26" i="168"/>
  <c r="G26" i="168"/>
  <c r="F26" i="168"/>
  <c r="E26" i="168"/>
  <c r="D26" i="168"/>
  <c r="C26" i="168"/>
  <c r="B26" i="168"/>
  <c r="J24" i="168"/>
  <c r="I24" i="168"/>
  <c r="H24" i="168"/>
  <c r="G24" i="168"/>
  <c r="F24" i="168"/>
  <c r="E24" i="168"/>
  <c r="D24" i="168"/>
  <c r="C24" i="168"/>
  <c r="B24" i="168"/>
  <c r="J16" i="168"/>
  <c r="I16" i="168"/>
  <c r="H16" i="168"/>
  <c r="G16" i="168"/>
  <c r="F16" i="168"/>
  <c r="E16" i="168"/>
  <c r="D16" i="168"/>
  <c r="C16" i="168"/>
  <c r="B16" i="168"/>
  <c r="J14" i="168"/>
  <c r="I14" i="168"/>
  <c r="H14" i="168"/>
  <c r="G14" i="168"/>
  <c r="F14" i="168"/>
  <c r="E14" i="168"/>
  <c r="D14" i="168"/>
  <c r="C14" i="168"/>
  <c r="B14" i="168"/>
  <c r="J8" i="168"/>
  <c r="I8" i="168"/>
  <c r="H8" i="168"/>
  <c r="G8" i="168"/>
  <c r="F8" i="168"/>
  <c r="E8" i="168"/>
  <c r="D8" i="168"/>
  <c r="C8" i="168"/>
  <c r="B8" i="168"/>
  <c r="J6" i="168"/>
  <c r="I6" i="168"/>
  <c r="H6" i="168"/>
  <c r="G6" i="168"/>
  <c r="F6" i="168"/>
  <c r="E6" i="168"/>
  <c r="D6" i="168"/>
  <c r="C6" i="168"/>
  <c r="B6" i="168"/>
  <c r="J4" i="168"/>
  <c r="I4" i="168"/>
  <c r="H4" i="168"/>
  <c r="G4" i="168"/>
  <c r="F4" i="168"/>
  <c r="E4" i="168"/>
  <c r="D4" i="168"/>
  <c r="C4" i="168"/>
  <c r="B4" i="168"/>
  <c r="J14" i="167"/>
  <c r="I14" i="167"/>
  <c r="H14" i="167"/>
  <c r="G14" i="167"/>
  <c r="F14" i="167"/>
  <c r="E14" i="167"/>
  <c r="D14" i="167"/>
  <c r="C14" i="167"/>
  <c r="B14" i="167"/>
  <c r="J12" i="167"/>
  <c r="I12" i="167"/>
  <c r="H12" i="167"/>
  <c r="G12" i="167"/>
  <c r="F12" i="167"/>
  <c r="E12" i="167"/>
  <c r="D12" i="167"/>
  <c r="C12" i="167"/>
  <c r="B12" i="167"/>
  <c r="J10" i="167"/>
  <c r="I10" i="167"/>
  <c r="H10" i="167"/>
  <c r="G10" i="167"/>
  <c r="F10" i="167"/>
  <c r="E10" i="167"/>
  <c r="D10" i="167"/>
  <c r="C10" i="167"/>
  <c r="B10" i="167"/>
  <c r="J8" i="167"/>
  <c r="I8" i="167"/>
  <c r="H8" i="167"/>
  <c r="G8" i="167"/>
  <c r="F8" i="167"/>
  <c r="E8" i="167"/>
  <c r="D8" i="167"/>
  <c r="C8" i="167"/>
  <c r="B8" i="167"/>
  <c r="J6" i="167"/>
  <c r="I6" i="167"/>
  <c r="H6" i="167"/>
  <c r="G6" i="167"/>
  <c r="F6" i="167"/>
  <c r="E6" i="167"/>
  <c r="D6" i="167"/>
  <c r="C6" i="167"/>
  <c r="B6" i="167"/>
  <c r="J4" i="167"/>
  <c r="I4" i="167"/>
  <c r="H4" i="167"/>
  <c r="G4" i="167"/>
  <c r="F4" i="167"/>
  <c r="E4" i="167"/>
  <c r="D4" i="167"/>
  <c r="C4" i="167"/>
  <c r="B4" i="167"/>
  <c r="J34" i="166"/>
  <c r="I34" i="166"/>
  <c r="H34" i="166"/>
  <c r="G34" i="166"/>
  <c r="F34" i="166"/>
  <c r="E34" i="166"/>
  <c r="D34" i="166"/>
  <c r="C34" i="166"/>
  <c r="B34" i="166"/>
  <c r="J32" i="166"/>
  <c r="I32" i="166"/>
  <c r="H32" i="166"/>
  <c r="G32" i="166"/>
  <c r="F32" i="166"/>
  <c r="E32" i="166"/>
  <c r="D32" i="166"/>
  <c r="C32" i="166"/>
  <c r="B32" i="166"/>
  <c r="J30" i="166"/>
  <c r="I30" i="166"/>
  <c r="H30" i="166"/>
  <c r="G30" i="166"/>
  <c r="F30" i="166"/>
  <c r="E30" i="166"/>
  <c r="D30" i="166"/>
  <c r="C30" i="166"/>
  <c r="B30" i="166"/>
  <c r="J28" i="166"/>
  <c r="I28" i="166"/>
  <c r="H28" i="166"/>
  <c r="G28" i="166"/>
  <c r="F28" i="166"/>
  <c r="E28" i="166"/>
  <c r="D28" i="166"/>
  <c r="C28" i="166"/>
  <c r="B28" i="166"/>
  <c r="J26" i="166"/>
  <c r="I26" i="166"/>
  <c r="H26" i="166"/>
  <c r="G26" i="166"/>
  <c r="F26" i="166"/>
  <c r="E26" i="166"/>
  <c r="D26" i="166"/>
  <c r="C26" i="166"/>
  <c r="B26" i="166"/>
  <c r="J24" i="166"/>
  <c r="I24" i="166"/>
  <c r="H24" i="166"/>
  <c r="G24" i="166"/>
  <c r="F24" i="166"/>
  <c r="E24" i="166"/>
  <c r="D24" i="166"/>
  <c r="C24" i="166"/>
  <c r="B24" i="166"/>
  <c r="J22" i="166"/>
  <c r="I22" i="166"/>
  <c r="H22" i="166"/>
  <c r="G22" i="166"/>
  <c r="F22" i="166"/>
  <c r="E22" i="166"/>
  <c r="D22" i="166"/>
  <c r="C22" i="166"/>
  <c r="B22" i="166"/>
  <c r="J20" i="166"/>
  <c r="I20" i="166"/>
  <c r="H20" i="166"/>
  <c r="G20" i="166"/>
  <c r="F20" i="166"/>
  <c r="E20" i="166"/>
  <c r="D20" i="166"/>
  <c r="C20" i="166"/>
  <c r="B20" i="166"/>
  <c r="J18" i="166"/>
  <c r="I18" i="166"/>
  <c r="H18" i="166"/>
  <c r="G18" i="166"/>
  <c r="F18" i="166"/>
  <c r="E18" i="166"/>
  <c r="D18" i="166"/>
  <c r="C18" i="166"/>
  <c r="B18" i="166"/>
  <c r="J16" i="166"/>
  <c r="I16" i="166"/>
  <c r="H16" i="166"/>
  <c r="G16" i="166"/>
  <c r="F16" i="166"/>
  <c r="E16" i="166"/>
  <c r="D16" i="166"/>
  <c r="C16" i="166"/>
  <c r="B16" i="166"/>
  <c r="J14" i="166"/>
  <c r="I14" i="166"/>
  <c r="H14" i="166"/>
  <c r="G14" i="166"/>
  <c r="F14" i="166"/>
  <c r="E14" i="166"/>
  <c r="D14" i="166"/>
  <c r="C14" i="166"/>
  <c r="B14" i="166"/>
  <c r="J12" i="166"/>
  <c r="I12" i="166"/>
  <c r="H12" i="166"/>
  <c r="G12" i="166"/>
  <c r="F12" i="166"/>
  <c r="E12" i="166"/>
  <c r="D12" i="166"/>
  <c r="C12" i="166"/>
  <c r="B12" i="166"/>
  <c r="J10" i="166"/>
  <c r="I10" i="166"/>
  <c r="H10" i="166"/>
  <c r="G10" i="166"/>
  <c r="F10" i="166"/>
  <c r="E10" i="166"/>
  <c r="D10" i="166"/>
  <c r="C10" i="166"/>
  <c r="B10" i="166"/>
  <c r="J8" i="166"/>
  <c r="I8" i="166"/>
  <c r="H8" i="166"/>
  <c r="G8" i="166"/>
  <c r="F8" i="166"/>
  <c r="E8" i="166"/>
  <c r="D8" i="166"/>
  <c r="C8" i="166"/>
  <c r="B8" i="166"/>
  <c r="J6" i="166"/>
  <c r="I6" i="166"/>
  <c r="H6" i="166"/>
  <c r="G6" i="166"/>
  <c r="F6" i="166"/>
  <c r="E6" i="166"/>
  <c r="D6" i="166"/>
  <c r="C6" i="166"/>
  <c r="B6" i="166"/>
  <c r="J4" i="166"/>
  <c r="I4" i="166"/>
  <c r="H4" i="166"/>
  <c r="G4" i="166"/>
  <c r="F4" i="166"/>
  <c r="E4" i="166"/>
  <c r="D4" i="166"/>
  <c r="C4" i="166"/>
  <c r="B4" i="166"/>
  <c r="J12" i="164"/>
  <c r="I12" i="164"/>
  <c r="H12" i="164"/>
  <c r="G12" i="164"/>
  <c r="F12" i="164"/>
  <c r="E12" i="164"/>
  <c r="D12" i="164"/>
  <c r="C12" i="164"/>
  <c r="B12" i="164"/>
  <c r="J10" i="164"/>
  <c r="I10" i="164"/>
  <c r="H10" i="164"/>
  <c r="G10" i="164"/>
  <c r="F10" i="164"/>
  <c r="E10" i="164"/>
  <c r="D10" i="164"/>
  <c r="C10" i="164"/>
  <c r="B10" i="164"/>
  <c r="J8" i="164"/>
  <c r="I8" i="164"/>
  <c r="H8" i="164"/>
  <c r="G8" i="164"/>
  <c r="F8" i="164"/>
  <c r="E8" i="164"/>
  <c r="D8" i="164"/>
  <c r="C8" i="164"/>
  <c r="B8" i="164"/>
  <c r="J6" i="164"/>
  <c r="I6" i="164"/>
  <c r="H6" i="164"/>
  <c r="G6" i="164"/>
  <c r="F6" i="164"/>
  <c r="E6" i="164"/>
  <c r="D6" i="164"/>
  <c r="C6" i="164"/>
  <c r="B6" i="164"/>
  <c r="J4" i="164"/>
  <c r="I4" i="164"/>
  <c r="H4" i="164"/>
  <c r="G4" i="164"/>
  <c r="F4" i="164"/>
  <c r="E4" i="164"/>
  <c r="D4" i="164"/>
  <c r="C4" i="164"/>
  <c r="J26" i="163"/>
  <c r="I26" i="163"/>
  <c r="H26" i="163"/>
  <c r="G26" i="163"/>
  <c r="F26" i="163"/>
  <c r="E26" i="163"/>
  <c r="D26" i="163"/>
  <c r="C26" i="163"/>
  <c r="B26" i="163"/>
  <c r="J20" i="163"/>
  <c r="I20" i="163"/>
  <c r="H20" i="163"/>
  <c r="G20" i="163"/>
  <c r="F20" i="163"/>
  <c r="E20" i="163"/>
  <c r="D20" i="163"/>
  <c r="C20" i="163"/>
  <c r="B20" i="163"/>
  <c r="J18" i="163"/>
  <c r="I18" i="163"/>
  <c r="H18" i="163"/>
  <c r="G18" i="163"/>
  <c r="F18" i="163"/>
  <c r="E18" i="163"/>
  <c r="D18" i="163"/>
  <c r="C18" i="163"/>
  <c r="B18" i="163"/>
  <c r="J16" i="163"/>
  <c r="I16" i="163"/>
  <c r="H16" i="163"/>
  <c r="G16" i="163"/>
  <c r="F16" i="163"/>
  <c r="E16" i="163"/>
  <c r="D16" i="163"/>
  <c r="C16" i="163"/>
  <c r="B16" i="163"/>
  <c r="J14" i="163"/>
  <c r="I14" i="163"/>
  <c r="H14" i="163"/>
  <c r="G14" i="163"/>
  <c r="F14" i="163"/>
  <c r="E14" i="163"/>
  <c r="D14" i="163"/>
  <c r="C14" i="163"/>
  <c r="B14" i="163"/>
  <c r="J12" i="163"/>
  <c r="I12" i="163"/>
  <c r="H12" i="163"/>
  <c r="G12" i="163"/>
  <c r="F12" i="163"/>
  <c r="E12" i="163"/>
  <c r="D12" i="163"/>
  <c r="C12" i="163"/>
  <c r="B12" i="163"/>
  <c r="J10" i="163"/>
  <c r="I10" i="163"/>
  <c r="H10" i="163"/>
  <c r="G10" i="163"/>
  <c r="F10" i="163"/>
  <c r="E10" i="163"/>
  <c r="D10" i="163"/>
  <c r="C10" i="163"/>
  <c r="B10" i="163"/>
  <c r="J8" i="163"/>
  <c r="I8" i="163"/>
  <c r="H8" i="163"/>
  <c r="G8" i="163"/>
  <c r="F8" i="163"/>
  <c r="E8" i="163"/>
  <c r="D8" i="163"/>
  <c r="C8" i="163"/>
  <c r="B8" i="163"/>
  <c r="J6" i="163"/>
  <c r="I6" i="163"/>
  <c r="H6" i="163"/>
  <c r="G6" i="163"/>
  <c r="F6" i="163"/>
  <c r="E6" i="163"/>
  <c r="D6" i="163"/>
  <c r="C6" i="163"/>
  <c r="B6" i="163"/>
  <c r="J4" i="163"/>
  <c r="I4" i="163"/>
  <c r="H4" i="163"/>
  <c r="G4" i="163"/>
  <c r="F4" i="163"/>
  <c r="E4" i="163"/>
  <c r="D4" i="163"/>
  <c r="C4" i="163"/>
  <c r="B4" i="163"/>
  <c r="I58" i="162"/>
  <c r="H58" i="162"/>
  <c r="G58" i="162"/>
  <c r="F58" i="162"/>
  <c r="E58" i="162"/>
  <c r="D58" i="162"/>
  <c r="C58" i="162"/>
  <c r="B58" i="162"/>
  <c r="B59" i="162" s="1"/>
  <c r="I56" i="162"/>
  <c r="H56" i="162"/>
  <c r="G56" i="162"/>
  <c r="F56" i="162"/>
  <c r="E56" i="162"/>
  <c r="D56" i="162"/>
  <c r="C56" i="162"/>
  <c r="B56" i="162"/>
  <c r="B57" i="162" s="1"/>
  <c r="I54" i="162"/>
  <c r="H54" i="162"/>
  <c r="G54" i="162"/>
  <c r="F54" i="162"/>
  <c r="E54" i="162"/>
  <c r="D54" i="162"/>
  <c r="C54" i="162"/>
  <c r="B54" i="162"/>
  <c r="I52" i="162"/>
  <c r="H52" i="162"/>
  <c r="G52" i="162"/>
  <c r="F52" i="162"/>
  <c r="E52" i="162"/>
  <c r="D52" i="162"/>
  <c r="C52" i="162"/>
  <c r="B52" i="162"/>
  <c r="I50" i="162"/>
  <c r="H50" i="162"/>
  <c r="G50" i="162"/>
  <c r="F50" i="162"/>
  <c r="E50" i="162"/>
  <c r="D50" i="162"/>
  <c r="C50" i="162"/>
  <c r="B50" i="162"/>
  <c r="I48" i="162"/>
  <c r="H48" i="162"/>
  <c r="G48" i="162"/>
  <c r="F48" i="162"/>
  <c r="E48" i="162"/>
  <c r="D48" i="162"/>
  <c r="C48" i="162"/>
  <c r="B48" i="162"/>
  <c r="I46" i="162"/>
  <c r="H46" i="162"/>
  <c r="G46" i="162"/>
  <c r="F46" i="162"/>
  <c r="E46" i="162"/>
  <c r="D46" i="162"/>
  <c r="C46" i="162"/>
  <c r="B46" i="162"/>
  <c r="B47" i="162" s="1"/>
  <c r="I44" i="162"/>
  <c r="H44" i="162"/>
  <c r="G44" i="162"/>
  <c r="F44" i="162"/>
  <c r="E44" i="162"/>
  <c r="D44" i="162"/>
  <c r="C44" i="162"/>
  <c r="B44" i="162"/>
  <c r="I42" i="162"/>
  <c r="H42" i="162"/>
  <c r="G42" i="162"/>
  <c r="F42" i="162"/>
  <c r="E42" i="162"/>
  <c r="D42" i="162"/>
  <c r="C42" i="162"/>
  <c r="B42" i="162"/>
  <c r="B43" i="162" s="1"/>
  <c r="I40" i="162"/>
  <c r="H40" i="162"/>
  <c r="G40" i="162"/>
  <c r="F40" i="162"/>
  <c r="E40" i="162"/>
  <c r="D40" i="162"/>
  <c r="C40" i="162"/>
  <c r="B40" i="162"/>
  <c r="I38" i="162"/>
  <c r="H38" i="162"/>
  <c r="G38" i="162"/>
  <c r="F38" i="162"/>
  <c r="E38" i="162"/>
  <c r="D38" i="162"/>
  <c r="C38" i="162"/>
  <c r="B38" i="162"/>
  <c r="I36" i="162"/>
  <c r="H36" i="162"/>
  <c r="G36" i="162"/>
  <c r="F36" i="162"/>
  <c r="E36" i="162"/>
  <c r="D36" i="162"/>
  <c r="C36" i="162"/>
  <c r="B36" i="162"/>
  <c r="I34" i="162"/>
  <c r="H34" i="162"/>
  <c r="G34" i="162"/>
  <c r="F34" i="162"/>
  <c r="E34" i="162"/>
  <c r="D34" i="162"/>
  <c r="C34" i="162"/>
  <c r="B34" i="162"/>
  <c r="B35" i="162" s="1"/>
  <c r="I32" i="162"/>
  <c r="H32" i="162"/>
  <c r="G32" i="162"/>
  <c r="F32" i="162"/>
  <c r="E32" i="162"/>
  <c r="D32" i="162"/>
  <c r="C32" i="162"/>
  <c r="B32" i="162"/>
  <c r="I30" i="162"/>
  <c r="H30" i="162"/>
  <c r="G30" i="162"/>
  <c r="F30" i="162"/>
  <c r="E30" i="162"/>
  <c r="D30" i="162"/>
  <c r="C30" i="162"/>
  <c r="B30" i="162"/>
  <c r="B31" i="162" s="1"/>
  <c r="I28" i="162"/>
  <c r="H28" i="162"/>
  <c r="G28" i="162"/>
  <c r="F28" i="162"/>
  <c r="E28" i="162"/>
  <c r="D28" i="162"/>
  <c r="C28" i="162"/>
  <c r="B28" i="162"/>
  <c r="I26" i="162"/>
  <c r="H26" i="162"/>
  <c r="G26" i="162"/>
  <c r="F26" i="162"/>
  <c r="E26" i="162"/>
  <c r="D26" i="162"/>
  <c r="C26" i="162"/>
  <c r="B26" i="162"/>
  <c r="B27" i="162" s="1"/>
  <c r="I24" i="162"/>
  <c r="H24" i="162"/>
  <c r="G24" i="162"/>
  <c r="F24" i="162"/>
  <c r="E24" i="162"/>
  <c r="D24" i="162"/>
  <c r="C24" i="162"/>
  <c r="I16" i="162"/>
  <c r="H16" i="162"/>
  <c r="G16" i="162"/>
  <c r="F16" i="162"/>
  <c r="E16" i="162"/>
  <c r="D16" i="162"/>
  <c r="C16" i="162"/>
  <c r="B16" i="162"/>
  <c r="I14" i="162"/>
  <c r="I51" i="162" s="1"/>
  <c r="H14" i="162"/>
  <c r="H18" i="162" s="1"/>
  <c r="H15" i="162" s="1"/>
  <c r="G14" i="162"/>
  <c r="G18" i="162" s="1"/>
  <c r="F14" i="162"/>
  <c r="F18" i="162" s="1"/>
  <c r="F17" i="162" s="1"/>
  <c r="E14" i="162"/>
  <c r="E18" i="162" s="1"/>
  <c r="D14" i="162"/>
  <c r="D18" i="162" s="1"/>
  <c r="D15" i="162" s="1"/>
  <c r="C14" i="162"/>
  <c r="C18" i="162" s="1"/>
  <c r="I8" i="162"/>
  <c r="H8" i="162"/>
  <c r="G8" i="162"/>
  <c r="F8" i="162"/>
  <c r="E8" i="162"/>
  <c r="D8" i="162"/>
  <c r="C8" i="162"/>
  <c r="B8" i="162"/>
  <c r="I6" i="162"/>
  <c r="H6" i="162"/>
  <c r="G6" i="162"/>
  <c r="F6" i="162"/>
  <c r="E6" i="162"/>
  <c r="D6" i="162"/>
  <c r="C6" i="162"/>
  <c r="B6" i="162"/>
  <c r="I4" i="162"/>
  <c r="H4" i="162"/>
  <c r="H10" i="162" s="1"/>
  <c r="H7" i="162" s="1"/>
  <c r="G4" i="162"/>
  <c r="G10" i="162" s="1"/>
  <c r="F4" i="162"/>
  <c r="E4" i="162"/>
  <c r="D4" i="162"/>
  <c r="D10" i="162" s="1"/>
  <c r="D7" i="162" s="1"/>
  <c r="C4" i="162"/>
  <c r="C10" i="162" s="1"/>
  <c r="B4" i="162"/>
  <c r="I14" i="161"/>
  <c r="H14" i="161"/>
  <c r="G14" i="161"/>
  <c r="F14" i="161"/>
  <c r="E14" i="161"/>
  <c r="D14" i="161"/>
  <c r="C14" i="161"/>
  <c r="B14" i="161"/>
  <c r="I12" i="161"/>
  <c r="H12" i="161"/>
  <c r="G12" i="161"/>
  <c r="F12" i="161"/>
  <c r="E12" i="161"/>
  <c r="D12" i="161"/>
  <c r="C12" i="161"/>
  <c r="B12" i="161"/>
  <c r="I10" i="161"/>
  <c r="H10" i="161"/>
  <c r="G10" i="161"/>
  <c r="F10" i="161"/>
  <c r="E10" i="161"/>
  <c r="D10" i="161"/>
  <c r="C10" i="161"/>
  <c r="B10" i="161"/>
  <c r="I8" i="161"/>
  <c r="H8" i="161"/>
  <c r="G8" i="161"/>
  <c r="F8" i="161"/>
  <c r="E8" i="161"/>
  <c r="D8" i="161"/>
  <c r="C8" i="161"/>
  <c r="B8" i="161"/>
  <c r="I6" i="161"/>
  <c r="H6" i="161"/>
  <c r="G6" i="161"/>
  <c r="F6" i="161"/>
  <c r="E6" i="161"/>
  <c r="D6" i="161"/>
  <c r="C6" i="161"/>
  <c r="B6" i="161"/>
  <c r="I4" i="161"/>
  <c r="I16" i="161" s="1"/>
  <c r="H4" i="161"/>
  <c r="H16" i="161" s="1"/>
  <c r="G4" i="161"/>
  <c r="F4" i="161"/>
  <c r="E4" i="161"/>
  <c r="D4" i="161"/>
  <c r="D16" i="161" s="1"/>
  <c r="C4" i="161"/>
  <c r="B4" i="161"/>
  <c r="I34" i="160"/>
  <c r="H34" i="160"/>
  <c r="G34" i="160"/>
  <c r="F34" i="160"/>
  <c r="E34" i="160"/>
  <c r="D34" i="160"/>
  <c r="C34" i="160"/>
  <c r="B34" i="160"/>
  <c r="I32" i="160"/>
  <c r="H32" i="160"/>
  <c r="G32" i="160"/>
  <c r="G44" i="160" s="1"/>
  <c r="F32" i="160"/>
  <c r="F44" i="160" s="1"/>
  <c r="E32" i="160"/>
  <c r="D32" i="160"/>
  <c r="C32" i="160"/>
  <c r="C44" i="160" s="1"/>
  <c r="B32" i="160"/>
  <c r="B44" i="160" s="1"/>
  <c r="I30" i="160"/>
  <c r="H30" i="160"/>
  <c r="G30" i="160"/>
  <c r="F30" i="160"/>
  <c r="E30" i="160"/>
  <c r="D30" i="160"/>
  <c r="C30" i="160"/>
  <c r="B30" i="160"/>
  <c r="I28" i="160"/>
  <c r="H28" i="160"/>
  <c r="G28" i="160"/>
  <c r="F28" i="160"/>
  <c r="E28" i="160"/>
  <c r="D28" i="160"/>
  <c r="C28" i="160"/>
  <c r="B28" i="160"/>
  <c r="I26" i="160"/>
  <c r="H26" i="160"/>
  <c r="G26" i="160"/>
  <c r="F26" i="160"/>
  <c r="E26" i="160"/>
  <c r="D26" i="160"/>
  <c r="C26" i="160"/>
  <c r="B26" i="160"/>
  <c r="I24" i="160"/>
  <c r="H24" i="160"/>
  <c r="G24" i="160"/>
  <c r="F24" i="160"/>
  <c r="E24" i="160"/>
  <c r="D24" i="160"/>
  <c r="C24" i="160"/>
  <c r="B24" i="160"/>
  <c r="I22" i="160"/>
  <c r="H22" i="160"/>
  <c r="H42" i="160" s="1"/>
  <c r="G22" i="160"/>
  <c r="F22" i="160"/>
  <c r="E22" i="160"/>
  <c r="D22" i="160"/>
  <c r="D42" i="160" s="1"/>
  <c r="C22" i="160"/>
  <c r="B22" i="160"/>
  <c r="I20" i="160"/>
  <c r="H20" i="160"/>
  <c r="G20" i="160"/>
  <c r="F20" i="160"/>
  <c r="E20" i="160"/>
  <c r="D20" i="160"/>
  <c r="C20" i="160"/>
  <c r="B20" i="160"/>
  <c r="I18" i="160"/>
  <c r="H18" i="160"/>
  <c r="G18" i="160"/>
  <c r="F18" i="160"/>
  <c r="E18" i="160"/>
  <c r="D18" i="160"/>
  <c r="C18" i="160"/>
  <c r="B18" i="160"/>
  <c r="I16" i="160"/>
  <c r="H16" i="160"/>
  <c r="G16" i="160"/>
  <c r="F16" i="160"/>
  <c r="E16" i="160"/>
  <c r="D16" i="160"/>
  <c r="C16" i="160"/>
  <c r="B16" i="160"/>
  <c r="I14" i="160"/>
  <c r="H14" i="160"/>
  <c r="G14" i="160"/>
  <c r="F14" i="160"/>
  <c r="E14" i="160"/>
  <c r="D14" i="160"/>
  <c r="C14" i="160"/>
  <c r="B14" i="160"/>
  <c r="I12" i="160"/>
  <c r="I40" i="160" s="1"/>
  <c r="H12" i="160"/>
  <c r="G12" i="160"/>
  <c r="F12" i="160"/>
  <c r="F40" i="160" s="1"/>
  <c r="E12" i="160"/>
  <c r="E40" i="160" s="1"/>
  <c r="D12" i="160"/>
  <c r="C12" i="160"/>
  <c r="C40" i="160" s="1"/>
  <c r="B12" i="160"/>
  <c r="B40" i="160" s="1"/>
  <c r="I10" i="160"/>
  <c r="H10" i="160"/>
  <c r="G10" i="160"/>
  <c r="F10" i="160"/>
  <c r="E10" i="160"/>
  <c r="D10" i="160"/>
  <c r="C10" i="160"/>
  <c r="B10" i="160"/>
  <c r="I8" i="160"/>
  <c r="H8" i="160"/>
  <c r="G8" i="160"/>
  <c r="F8" i="160"/>
  <c r="E8" i="160"/>
  <c r="D8" i="160"/>
  <c r="C8" i="160"/>
  <c r="B8" i="160"/>
  <c r="I6" i="160"/>
  <c r="H6" i="160"/>
  <c r="G6" i="160"/>
  <c r="F6" i="160"/>
  <c r="E6" i="160"/>
  <c r="D6" i="160"/>
  <c r="C6" i="160"/>
  <c r="B6" i="160"/>
  <c r="I4" i="160"/>
  <c r="I36" i="160" s="1"/>
  <c r="H4" i="160"/>
  <c r="H38" i="160" s="1"/>
  <c r="G4" i="160"/>
  <c r="G38" i="160" s="1"/>
  <c r="F4" i="160"/>
  <c r="F36" i="160" s="1"/>
  <c r="E4" i="160"/>
  <c r="E36" i="160" s="1"/>
  <c r="D4" i="160"/>
  <c r="D38" i="160" s="1"/>
  <c r="C4" i="160"/>
  <c r="C38" i="160" s="1"/>
  <c r="B4" i="160"/>
  <c r="B36" i="160" s="1"/>
  <c r="I32" i="159"/>
  <c r="H32" i="159"/>
  <c r="G32" i="159"/>
  <c r="F32" i="159"/>
  <c r="E32" i="159"/>
  <c r="D32" i="159"/>
  <c r="C32" i="159"/>
  <c r="I30" i="159"/>
  <c r="H30" i="159"/>
  <c r="G30" i="159"/>
  <c r="F30" i="159"/>
  <c r="E30" i="159"/>
  <c r="D30" i="159"/>
  <c r="C30" i="159"/>
  <c r="B30" i="159"/>
  <c r="I28" i="159"/>
  <c r="H28" i="159"/>
  <c r="G28" i="159"/>
  <c r="F28" i="159"/>
  <c r="E28" i="159"/>
  <c r="D28" i="159"/>
  <c r="C28" i="159"/>
  <c r="B28" i="159"/>
  <c r="I26" i="159"/>
  <c r="H26" i="159"/>
  <c r="G26" i="159"/>
  <c r="F26" i="159"/>
  <c r="E26" i="159"/>
  <c r="D26" i="159"/>
  <c r="C26" i="159"/>
  <c r="B26" i="159"/>
  <c r="I24" i="159"/>
  <c r="H24" i="159"/>
  <c r="G24" i="159"/>
  <c r="F24" i="159"/>
  <c r="E24" i="159"/>
  <c r="D24" i="159"/>
  <c r="C24" i="159"/>
  <c r="B24" i="159"/>
  <c r="I22" i="159"/>
  <c r="H22" i="159"/>
  <c r="G22" i="159"/>
  <c r="F22" i="159"/>
  <c r="E22" i="159"/>
  <c r="D22" i="159"/>
  <c r="C22" i="159"/>
  <c r="B22" i="159"/>
  <c r="AE21" i="159"/>
  <c r="AE20" i="159"/>
  <c r="I20" i="159"/>
  <c r="H20" i="159"/>
  <c r="G20" i="159"/>
  <c r="F20" i="159"/>
  <c r="E20" i="159"/>
  <c r="D20" i="159"/>
  <c r="C20" i="159"/>
  <c r="B20" i="159"/>
  <c r="AE19" i="159"/>
  <c r="AE18" i="159"/>
  <c r="I18" i="159"/>
  <c r="H18" i="159"/>
  <c r="G18" i="159"/>
  <c r="F18" i="159"/>
  <c r="E18" i="159"/>
  <c r="D18" i="159"/>
  <c r="C18" i="159"/>
  <c r="B18" i="159"/>
  <c r="AE17" i="159"/>
  <c r="AE16" i="159"/>
  <c r="I16" i="159"/>
  <c r="H16" i="159"/>
  <c r="G16" i="159"/>
  <c r="F16" i="159"/>
  <c r="E16" i="159"/>
  <c r="D16" i="159"/>
  <c r="C16" i="159"/>
  <c r="B16" i="159"/>
  <c r="AE15" i="159"/>
  <c r="AE14" i="159"/>
  <c r="I14" i="159"/>
  <c r="H14" i="159"/>
  <c r="G14" i="159"/>
  <c r="F14" i="159"/>
  <c r="E14" i="159"/>
  <c r="D14" i="159"/>
  <c r="C14" i="159"/>
  <c r="B14" i="159"/>
  <c r="AE13" i="159"/>
  <c r="AE12" i="159"/>
  <c r="I12" i="159"/>
  <c r="H12" i="159"/>
  <c r="G12" i="159"/>
  <c r="F12" i="159"/>
  <c r="E12" i="159"/>
  <c r="D12" i="159"/>
  <c r="C12" i="159"/>
  <c r="B12" i="159"/>
  <c r="AE11" i="159"/>
  <c r="AE10" i="159"/>
  <c r="I10" i="159"/>
  <c r="H10" i="159"/>
  <c r="G10" i="159"/>
  <c r="F10" i="159"/>
  <c r="E10" i="159"/>
  <c r="D10" i="159"/>
  <c r="C10" i="159"/>
  <c r="B10" i="159"/>
  <c r="AE9" i="159"/>
  <c r="AE8" i="159"/>
  <c r="I8" i="159"/>
  <c r="H8" i="159"/>
  <c r="G8" i="159"/>
  <c r="F8" i="159"/>
  <c r="E8" i="159"/>
  <c r="D8" i="159"/>
  <c r="C8" i="159"/>
  <c r="B8" i="159"/>
  <c r="AE7" i="159"/>
  <c r="AE6" i="159"/>
  <c r="I6" i="159"/>
  <c r="H6" i="159"/>
  <c r="G6" i="159"/>
  <c r="F6" i="159"/>
  <c r="E6" i="159"/>
  <c r="E4" i="159" s="1"/>
  <c r="D6" i="159"/>
  <c r="C6" i="159"/>
  <c r="B6" i="159"/>
  <c r="AE5" i="159"/>
  <c r="I14" i="158"/>
  <c r="H14" i="158"/>
  <c r="G14" i="158"/>
  <c r="F14" i="158"/>
  <c r="E14" i="158"/>
  <c r="D14" i="158"/>
  <c r="C14" i="158"/>
  <c r="B14" i="158"/>
  <c r="I12" i="158"/>
  <c r="H12" i="158"/>
  <c r="H13" i="158" s="1"/>
  <c r="G12" i="158"/>
  <c r="F12" i="158"/>
  <c r="E12" i="158"/>
  <c r="D12" i="158"/>
  <c r="D13" i="158" s="1"/>
  <c r="C12" i="158"/>
  <c r="B12" i="158"/>
  <c r="AE10" i="158"/>
  <c r="I10" i="158"/>
  <c r="I11" i="158" s="1"/>
  <c r="H10" i="158"/>
  <c r="G10" i="158"/>
  <c r="F10" i="158"/>
  <c r="F11" i="158" s="1"/>
  <c r="E10" i="158"/>
  <c r="E11" i="158" s="1"/>
  <c r="D10" i="158"/>
  <c r="C10" i="158"/>
  <c r="B10" i="158"/>
  <c r="AE9" i="158"/>
  <c r="AE8" i="158"/>
  <c r="I8" i="158"/>
  <c r="I9" i="158" s="1"/>
  <c r="H8" i="158"/>
  <c r="G8" i="158"/>
  <c r="G9" i="158" s="1"/>
  <c r="F8" i="158"/>
  <c r="F9" i="158" s="1"/>
  <c r="E8" i="158"/>
  <c r="E9" i="158" s="1"/>
  <c r="D8" i="158"/>
  <c r="D9" i="158" s="1"/>
  <c r="C8" i="158"/>
  <c r="C9" i="158" s="1"/>
  <c r="B8" i="158"/>
  <c r="AE7" i="158"/>
  <c r="E7" i="158"/>
  <c r="AE6" i="158"/>
  <c r="I6" i="158"/>
  <c r="H6" i="158"/>
  <c r="G6" i="158"/>
  <c r="F6" i="158"/>
  <c r="F7" i="158" s="1"/>
  <c r="E6" i="158"/>
  <c r="D6" i="158"/>
  <c r="C6" i="158"/>
  <c r="B6" i="158"/>
  <c r="AE5" i="158"/>
  <c r="AE4" i="158"/>
  <c r="I4" i="158"/>
  <c r="I5" i="158" s="1"/>
  <c r="H4" i="158"/>
  <c r="G4" i="158"/>
  <c r="F4" i="158"/>
  <c r="F5" i="158" s="1"/>
  <c r="E4" i="158"/>
  <c r="E5" i="158" s="1"/>
  <c r="D4" i="158"/>
  <c r="C4" i="158"/>
  <c r="B4" i="158"/>
  <c r="I26" i="157"/>
  <c r="H26" i="157"/>
  <c r="G26" i="157"/>
  <c r="F26" i="157"/>
  <c r="E26" i="157"/>
  <c r="D26" i="157"/>
  <c r="C26" i="157"/>
  <c r="B26" i="157"/>
  <c r="I24" i="157"/>
  <c r="H24" i="157"/>
  <c r="G24" i="157"/>
  <c r="F24" i="157"/>
  <c r="E24" i="157"/>
  <c r="D24" i="157"/>
  <c r="C24" i="157"/>
  <c r="B24" i="157"/>
  <c r="I20" i="157"/>
  <c r="H20" i="157"/>
  <c r="G20" i="157"/>
  <c r="F20" i="157"/>
  <c r="E20" i="157"/>
  <c r="D20" i="157"/>
  <c r="C20" i="157"/>
  <c r="B20" i="157"/>
  <c r="I18" i="157"/>
  <c r="H18" i="157"/>
  <c r="G18" i="157"/>
  <c r="F18" i="157"/>
  <c r="E18" i="157"/>
  <c r="D18" i="157"/>
  <c r="C18" i="157"/>
  <c r="I16" i="157"/>
  <c r="H16" i="157"/>
  <c r="G16" i="157"/>
  <c r="F16" i="157"/>
  <c r="E16" i="157"/>
  <c r="D16" i="157"/>
  <c r="C16" i="157"/>
  <c r="B16" i="157"/>
  <c r="I14" i="157"/>
  <c r="H14" i="157"/>
  <c r="G14" i="157"/>
  <c r="F14" i="157"/>
  <c r="E14" i="157"/>
  <c r="D14" i="157"/>
  <c r="C14" i="157"/>
  <c r="B14" i="157"/>
  <c r="I22" i="157"/>
  <c r="H22" i="157"/>
  <c r="E22" i="157"/>
  <c r="I12" i="157"/>
  <c r="H12" i="157"/>
  <c r="G12" i="157"/>
  <c r="F12" i="157"/>
  <c r="E12" i="157"/>
  <c r="D12" i="157"/>
  <c r="C12" i="157"/>
  <c r="B12" i="157"/>
  <c r="I10" i="157"/>
  <c r="H10" i="157"/>
  <c r="G10" i="157"/>
  <c r="F10" i="157"/>
  <c r="E10" i="157"/>
  <c r="D10" i="157"/>
  <c r="C10" i="157"/>
  <c r="B10" i="157"/>
  <c r="I8" i="157"/>
  <c r="H8" i="157"/>
  <c r="G8" i="157"/>
  <c r="F8" i="157"/>
  <c r="E8" i="157"/>
  <c r="D8" i="157"/>
  <c r="C8" i="157"/>
  <c r="B8" i="157"/>
  <c r="I6" i="157"/>
  <c r="H6" i="157"/>
  <c r="G6" i="157"/>
  <c r="F6" i="157"/>
  <c r="E6" i="157"/>
  <c r="D6" i="157"/>
  <c r="C6" i="157"/>
  <c r="B6" i="157"/>
  <c r="I4" i="157"/>
  <c r="H4" i="157"/>
  <c r="G4" i="157"/>
  <c r="F4" i="157"/>
  <c r="E4" i="157"/>
  <c r="D4" i="157"/>
  <c r="C4" i="157"/>
  <c r="B4" i="157"/>
  <c r="H9" i="169" l="1"/>
  <c r="B11" i="169"/>
  <c r="F11" i="169"/>
  <c r="J11" i="169"/>
  <c r="I11" i="169"/>
  <c r="E13" i="169"/>
  <c r="B32" i="169"/>
  <c r="F32" i="169"/>
  <c r="J32" i="169"/>
  <c r="Q75" i="170"/>
  <c r="Q72" i="170"/>
  <c r="Q88" i="170"/>
  <c r="Q76" i="170"/>
  <c r="Q52" i="170"/>
  <c r="Q54" i="170"/>
  <c r="Q58" i="170"/>
  <c r="Q62" i="170"/>
  <c r="Q64" i="170"/>
  <c r="Q66" i="170"/>
  <c r="P89" i="170"/>
  <c r="Q5" i="170"/>
  <c r="Q7" i="170"/>
  <c r="Q39" i="170"/>
  <c r="C7" i="169"/>
  <c r="G7" i="169"/>
  <c r="H5" i="169"/>
  <c r="G44" i="166"/>
  <c r="J44" i="166"/>
  <c r="C34" i="165"/>
  <c r="G34" i="165"/>
  <c r="D25" i="162"/>
  <c r="H25" i="162"/>
  <c r="D27" i="162"/>
  <c r="H27" i="162"/>
  <c r="F59" i="162"/>
  <c r="C4" i="159"/>
  <c r="G4" i="159"/>
  <c r="G34" i="159" s="1"/>
  <c r="G15" i="159" s="1"/>
  <c r="I4" i="159"/>
  <c r="F4" i="159"/>
  <c r="J20" i="159"/>
  <c r="I7" i="158"/>
  <c r="H11" i="158"/>
  <c r="Q14" i="170"/>
  <c r="Q30" i="170"/>
  <c r="Q10" i="170"/>
  <c r="Q26" i="170"/>
  <c r="Q42" i="170"/>
  <c r="Q68" i="170"/>
  <c r="Q16" i="170"/>
  <c r="Q18" i="170"/>
  <c r="Q20" i="170"/>
  <c r="Q22" i="170"/>
  <c r="Q28" i="170"/>
  <c r="Q32" i="170"/>
  <c r="Q34" i="170"/>
  <c r="Q36" i="170"/>
  <c r="Q38" i="170"/>
  <c r="C30" i="169"/>
  <c r="I32" i="169"/>
  <c r="C34" i="169"/>
  <c r="E30" i="169"/>
  <c r="I30" i="169"/>
  <c r="G30" i="169"/>
  <c r="E32" i="169"/>
  <c r="B30" i="169"/>
  <c r="F30" i="169"/>
  <c r="J30" i="169"/>
  <c r="B34" i="169"/>
  <c r="F34" i="169"/>
  <c r="J34" i="169"/>
  <c r="B38" i="169"/>
  <c r="F38" i="169"/>
  <c r="J38" i="169"/>
  <c r="F15" i="169"/>
  <c r="B15" i="169"/>
  <c r="J15" i="169"/>
  <c r="J7" i="169"/>
  <c r="I13" i="169"/>
  <c r="B43" i="168"/>
  <c r="F59" i="168"/>
  <c r="J43" i="168"/>
  <c r="D35" i="168"/>
  <c r="H35" i="168"/>
  <c r="J47" i="168"/>
  <c r="J55" i="168"/>
  <c r="B10" i="168"/>
  <c r="B9" i="168" s="1"/>
  <c r="F10" i="168"/>
  <c r="J10" i="168"/>
  <c r="J9" i="168" s="1"/>
  <c r="H33" i="162"/>
  <c r="H35" i="162"/>
  <c r="D37" i="162"/>
  <c r="H39" i="162"/>
  <c r="H41" i="162"/>
  <c r="D45" i="162"/>
  <c r="D47" i="162"/>
  <c r="D49" i="162"/>
  <c r="D51" i="162"/>
  <c r="H31" i="162"/>
  <c r="E43" i="162"/>
  <c r="I43" i="162"/>
  <c r="D33" i="162"/>
  <c r="D35" i="162"/>
  <c r="H37" i="162"/>
  <c r="D39" i="162"/>
  <c r="D41" i="162"/>
  <c r="H43" i="162"/>
  <c r="H45" i="162"/>
  <c r="H47" i="162"/>
  <c r="H49" i="162"/>
  <c r="F33" i="162"/>
  <c r="F35" i="162"/>
  <c r="F39" i="162"/>
  <c r="H51" i="162"/>
  <c r="J8" i="159"/>
  <c r="J16" i="159"/>
  <c r="C5" i="158"/>
  <c r="G5" i="158"/>
  <c r="H7" i="158"/>
  <c r="D5" i="158"/>
  <c r="J8" i="158"/>
  <c r="H19" i="157"/>
  <c r="Q83" i="170"/>
  <c r="Q87" i="170"/>
  <c r="P73" i="170"/>
  <c r="Q77" i="170"/>
  <c r="I73" i="170"/>
  <c r="Q80" i="170"/>
  <c r="Q70" i="170"/>
  <c r="Q51" i="170"/>
  <c r="Q63" i="170"/>
  <c r="Q67" i="170"/>
  <c r="Q56" i="170"/>
  <c r="Q60" i="170"/>
  <c r="Q11" i="170"/>
  <c r="Q23" i="170"/>
  <c r="Q24" i="170"/>
  <c r="Q21" i="170"/>
  <c r="Q37" i="170"/>
  <c r="Q85" i="170"/>
  <c r="Q78" i="170"/>
  <c r="Q79" i="170"/>
  <c r="Q57" i="170"/>
  <c r="Q55" i="170"/>
  <c r="Q71" i="170"/>
  <c r="Q59" i="170"/>
  <c r="Q43" i="170"/>
  <c r="Q6" i="170"/>
  <c r="Q8" i="170"/>
  <c r="Q15" i="170"/>
  <c r="Q19" i="170"/>
  <c r="Q40" i="170"/>
  <c r="Q12" i="170"/>
  <c r="Q27" i="170"/>
  <c r="Q44" i="170"/>
  <c r="Q9" i="170"/>
  <c r="Q25" i="170"/>
  <c r="Q41" i="170"/>
  <c r="Q13" i="170"/>
  <c r="Q29" i="170"/>
  <c r="Q45" i="170"/>
  <c r="Q17" i="170"/>
  <c r="Q33" i="170"/>
  <c r="D7" i="169"/>
  <c r="H7" i="169"/>
  <c r="B7" i="169"/>
  <c r="F7" i="169"/>
  <c r="D11" i="169"/>
  <c r="H11" i="169"/>
  <c r="E15" i="169"/>
  <c r="E7" i="169"/>
  <c r="I7" i="169"/>
  <c r="C9" i="169"/>
  <c r="G9" i="169"/>
  <c r="C38" i="169"/>
  <c r="D36" i="169"/>
  <c r="H36" i="169"/>
  <c r="G38" i="169"/>
  <c r="C28" i="169"/>
  <c r="G28" i="169"/>
  <c r="B28" i="169"/>
  <c r="F28" i="169"/>
  <c r="J28" i="169"/>
  <c r="G34" i="169"/>
  <c r="C5" i="169"/>
  <c r="C21" i="169" s="1"/>
  <c r="C16" i="169" s="1"/>
  <c r="G5" i="169"/>
  <c r="B9" i="169"/>
  <c r="F9" i="169"/>
  <c r="J9" i="169"/>
  <c r="C13" i="169"/>
  <c r="G13" i="169"/>
  <c r="E5" i="169"/>
  <c r="I5" i="169"/>
  <c r="D9" i="169"/>
  <c r="B13" i="169"/>
  <c r="F13" i="169"/>
  <c r="J13" i="169"/>
  <c r="B5" i="169"/>
  <c r="F5" i="169"/>
  <c r="J5" i="169"/>
  <c r="D5" i="169"/>
  <c r="D15" i="169"/>
  <c r="H15" i="169"/>
  <c r="C15" i="169"/>
  <c r="G15" i="169"/>
  <c r="K42" i="169"/>
  <c r="C36" i="169"/>
  <c r="G36" i="169"/>
  <c r="E38" i="169"/>
  <c r="I38" i="169"/>
  <c r="C32" i="169"/>
  <c r="D28" i="169"/>
  <c r="H28" i="169"/>
  <c r="D32" i="169"/>
  <c r="H32" i="169"/>
  <c r="D34" i="169"/>
  <c r="H34" i="169"/>
  <c r="E34" i="169"/>
  <c r="I34" i="169"/>
  <c r="G32" i="169"/>
  <c r="E28" i="169"/>
  <c r="I28" i="169"/>
  <c r="D30" i="169"/>
  <c r="H30" i="169"/>
  <c r="D38" i="169"/>
  <c r="H38" i="169"/>
  <c r="E25" i="168"/>
  <c r="J41" i="168"/>
  <c r="D45" i="168"/>
  <c r="H45" i="168"/>
  <c r="F37" i="168"/>
  <c r="D41" i="168"/>
  <c r="H41" i="168"/>
  <c r="D10" i="168"/>
  <c r="D5" i="168" s="1"/>
  <c r="D11" i="168" s="1"/>
  <c r="H10" i="168"/>
  <c r="H9" i="168" s="1"/>
  <c r="E27" i="168"/>
  <c r="D25" i="168"/>
  <c r="H25" i="168"/>
  <c r="B27" i="168"/>
  <c r="F27" i="168"/>
  <c r="J27" i="168"/>
  <c r="E29" i="168"/>
  <c r="I29" i="168"/>
  <c r="B33" i="168"/>
  <c r="J33" i="168"/>
  <c r="E35" i="168"/>
  <c r="D37" i="168"/>
  <c r="H37" i="168"/>
  <c r="J49" i="168"/>
  <c r="J57" i="168"/>
  <c r="I27" i="168"/>
  <c r="I39" i="168"/>
  <c r="I25" i="168"/>
  <c r="C27" i="168"/>
  <c r="G27" i="168"/>
  <c r="B29" i="168"/>
  <c r="F29" i="168"/>
  <c r="J29" i="168"/>
  <c r="D47" i="168"/>
  <c r="H47" i="168"/>
  <c r="J51" i="168"/>
  <c r="J59" i="168"/>
  <c r="E43" i="168"/>
  <c r="D18" i="168"/>
  <c r="D17" i="168" s="1"/>
  <c r="H18" i="168"/>
  <c r="H17" i="168" s="1"/>
  <c r="B25" i="168"/>
  <c r="F25" i="168"/>
  <c r="J25" i="168"/>
  <c r="D27" i="168"/>
  <c r="H27" i="168"/>
  <c r="D29" i="168"/>
  <c r="I31" i="168"/>
  <c r="D33" i="168"/>
  <c r="H33" i="168"/>
  <c r="B41" i="168"/>
  <c r="D43" i="168"/>
  <c r="H43" i="168"/>
  <c r="J45" i="168"/>
  <c r="D49" i="168"/>
  <c r="H49" i="168"/>
  <c r="J53" i="168"/>
  <c r="E10" i="168"/>
  <c r="I10" i="168"/>
  <c r="I9" i="168" s="1"/>
  <c r="K56" i="168"/>
  <c r="K52" i="168"/>
  <c r="K48" i="168"/>
  <c r="D4" i="165"/>
  <c r="K26" i="163"/>
  <c r="J38" i="162"/>
  <c r="G17" i="162"/>
  <c r="C17" i="162"/>
  <c r="G29" i="162"/>
  <c r="D17" i="162"/>
  <c r="D19" i="162" s="1"/>
  <c r="H17" i="162"/>
  <c r="H19" i="162" s="1"/>
  <c r="E27" i="162"/>
  <c r="D29" i="162"/>
  <c r="H29" i="162"/>
  <c r="D31" i="162"/>
  <c r="C33" i="162"/>
  <c r="G33" i="162"/>
  <c r="C35" i="162"/>
  <c r="G35" i="162"/>
  <c r="C37" i="162"/>
  <c r="G37" i="162"/>
  <c r="C39" i="162"/>
  <c r="G39" i="162"/>
  <c r="F43" i="162"/>
  <c r="D43" i="162"/>
  <c r="E47" i="162"/>
  <c r="I47" i="162"/>
  <c r="E49" i="162"/>
  <c r="I49" i="162"/>
  <c r="E51" i="162"/>
  <c r="D53" i="162"/>
  <c r="H53" i="162"/>
  <c r="H55" i="162"/>
  <c r="C57" i="162"/>
  <c r="G57" i="162"/>
  <c r="C31" i="162"/>
  <c r="C53" i="162"/>
  <c r="C55" i="162"/>
  <c r="G55" i="162"/>
  <c r="F27" i="162"/>
  <c r="I27" i="162"/>
  <c r="E31" i="162"/>
  <c r="I31" i="162"/>
  <c r="C41" i="162"/>
  <c r="G41" i="162"/>
  <c r="F47" i="162"/>
  <c r="F49" i="162"/>
  <c r="F51" i="162"/>
  <c r="E55" i="162"/>
  <c r="I55" i="162"/>
  <c r="D57" i="162"/>
  <c r="H57" i="162"/>
  <c r="D59" i="162"/>
  <c r="H59" i="162"/>
  <c r="C29" i="162"/>
  <c r="G31" i="162"/>
  <c r="G53" i="162"/>
  <c r="C25" i="162"/>
  <c r="G25" i="162"/>
  <c r="F31" i="162"/>
  <c r="E33" i="162"/>
  <c r="I33" i="162"/>
  <c r="E35" i="162"/>
  <c r="E39" i="162"/>
  <c r="I39" i="162"/>
  <c r="C45" i="162"/>
  <c r="C49" i="162"/>
  <c r="G49" i="162"/>
  <c r="F55" i="162"/>
  <c r="D55" i="162"/>
  <c r="E59" i="162"/>
  <c r="I59" i="162"/>
  <c r="E10" i="162"/>
  <c r="E5" i="162" s="1"/>
  <c r="I10" i="162"/>
  <c r="I7" i="162" s="1"/>
  <c r="J4" i="162"/>
  <c r="J8" i="162"/>
  <c r="F34" i="159"/>
  <c r="F13" i="159" s="1"/>
  <c r="AE22" i="159"/>
  <c r="B4" i="159"/>
  <c r="B34" i="159" s="1"/>
  <c r="B31" i="159" s="1"/>
  <c r="J18" i="159"/>
  <c r="I34" i="159"/>
  <c r="I25" i="159" s="1"/>
  <c r="J24" i="159"/>
  <c r="J28" i="159"/>
  <c r="J32" i="159"/>
  <c r="I13" i="157"/>
  <c r="F7" i="157"/>
  <c r="C22" i="157"/>
  <c r="C7" i="157" s="1"/>
  <c r="F22" i="157"/>
  <c r="F21" i="157" s="1"/>
  <c r="E13" i="158"/>
  <c r="J12" i="158"/>
  <c r="F13" i="158"/>
  <c r="I13" i="158"/>
  <c r="J4" i="158"/>
  <c r="AE11" i="158"/>
  <c r="D11" i="158"/>
  <c r="H9" i="158"/>
  <c r="H5" i="158"/>
  <c r="C7" i="158"/>
  <c r="G7" i="158"/>
  <c r="D7" i="158"/>
  <c r="C11" i="158"/>
  <c r="G11" i="158"/>
  <c r="F15" i="158"/>
  <c r="I15" i="158"/>
  <c r="C13" i="158"/>
  <c r="G13" i="158"/>
  <c r="J14" i="158"/>
  <c r="J13" i="158" s="1"/>
  <c r="B13" i="158"/>
  <c r="J16" i="157"/>
  <c r="J24" i="157"/>
  <c r="H27" i="157"/>
  <c r="J10" i="157"/>
  <c r="J12" i="157"/>
  <c r="J20" i="157"/>
  <c r="J6" i="157"/>
  <c r="J4" i="157"/>
  <c r="J8" i="157"/>
  <c r="F9" i="157"/>
  <c r="D22" i="157"/>
  <c r="D13" i="157" s="1"/>
  <c r="G22" i="157"/>
  <c r="G27" i="157" s="1"/>
  <c r="I15" i="157"/>
  <c r="J16" i="167"/>
  <c r="J11" i="167" s="1"/>
  <c r="K12" i="167"/>
  <c r="B16" i="167"/>
  <c r="B13" i="167" s="1"/>
  <c r="F16" i="167"/>
  <c r="F11" i="167" s="1"/>
  <c r="K6" i="167"/>
  <c r="I42" i="166"/>
  <c r="E44" i="166"/>
  <c r="I44" i="166"/>
  <c r="F38" i="166"/>
  <c r="E42" i="166"/>
  <c r="B44" i="166"/>
  <c r="C4" i="165"/>
  <c r="H14" i="164"/>
  <c r="H9" i="164" s="1"/>
  <c r="K12" i="164"/>
  <c r="K50" i="168"/>
  <c r="K54" i="168"/>
  <c r="K58" i="168"/>
  <c r="E41" i="168"/>
  <c r="I37" i="168"/>
  <c r="C16" i="167"/>
  <c r="C9" i="167" s="1"/>
  <c r="K8" i="167"/>
  <c r="D16" i="167"/>
  <c r="D15" i="167" s="1"/>
  <c r="H16" i="167"/>
  <c r="H9" i="167" s="1"/>
  <c r="J36" i="166"/>
  <c r="J27" i="166" s="1"/>
  <c r="E40" i="166"/>
  <c r="I40" i="166"/>
  <c r="J40" i="166"/>
  <c r="D44" i="166"/>
  <c r="H34" i="165"/>
  <c r="G4" i="165"/>
  <c r="G5" i="165" s="1"/>
  <c r="I4" i="165"/>
  <c r="D34" i="165"/>
  <c r="H4" i="165"/>
  <c r="H5" i="165" s="1"/>
  <c r="B4" i="165"/>
  <c r="F34" i="165"/>
  <c r="J4" i="165"/>
  <c r="F14" i="164"/>
  <c r="F5" i="164" s="1"/>
  <c r="B14" i="164"/>
  <c r="B13" i="164" s="1"/>
  <c r="J14" i="164"/>
  <c r="J13" i="164" s="1"/>
  <c r="K8" i="164"/>
  <c r="E22" i="163"/>
  <c r="I22" i="163"/>
  <c r="I11" i="163" s="1"/>
  <c r="K8" i="163"/>
  <c r="K16" i="163"/>
  <c r="G22" i="163"/>
  <c r="G27" i="163" s="1"/>
  <c r="B22" i="163"/>
  <c r="B5" i="163" s="1"/>
  <c r="F22" i="163"/>
  <c r="F15" i="163" s="1"/>
  <c r="J22" i="163"/>
  <c r="J24" i="163" s="1"/>
  <c r="J25" i="163" s="1"/>
  <c r="J5" i="163"/>
  <c r="K4" i="163"/>
  <c r="K12" i="163"/>
  <c r="K20" i="163"/>
  <c r="J52" i="162"/>
  <c r="B53" i="162"/>
  <c r="F53" i="162"/>
  <c r="J36" i="162"/>
  <c r="B37" i="162"/>
  <c r="B39" i="162"/>
  <c r="G45" i="162"/>
  <c r="J50" i="162"/>
  <c r="J54" i="162"/>
  <c r="B55" i="162"/>
  <c r="J6" i="161"/>
  <c r="J10" i="161"/>
  <c r="J14" i="161"/>
  <c r="I38" i="160"/>
  <c r="I39" i="160" s="1"/>
  <c r="J8" i="160"/>
  <c r="J16" i="160"/>
  <c r="J20" i="160"/>
  <c r="J28" i="160"/>
  <c r="J24" i="160"/>
  <c r="E25" i="157"/>
  <c r="E21" i="157"/>
  <c r="E17" i="157"/>
  <c r="E11" i="157"/>
  <c r="E9" i="157"/>
  <c r="E7" i="157"/>
  <c r="E5" i="157"/>
  <c r="E13" i="157"/>
  <c r="B33" i="160"/>
  <c r="B25" i="160"/>
  <c r="B21" i="160"/>
  <c r="B13" i="160"/>
  <c r="B5" i="160"/>
  <c r="B29" i="160"/>
  <c r="B17" i="160"/>
  <c r="B9" i="160"/>
  <c r="F17" i="160"/>
  <c r="F33" i="160"/>
  <c r="F21" i="160"/>
  <c r="F9" i="160"/>
  <c r="F29" i="160"/>
  <c r="F25" i="160"/>
  <c r="F13" i="160"/>
  <c r="F5" i="160"/>
  <c r="B7" i="160"/>
  <c r="F7" i="160"/>
  <c r="B11" i="160"/>
  <c r="F11" i="160"/>
  <c r="B41" i="160"/>
  <c r="F41" i="160"/>
  <c r="B15" i="160"/>
  <c r="F15" i="160"/>
  <c r="B19" i="160"/>
  <c r="F19" i="160"/>
  <c r="B23" i="160"/>
  <c r="F23" i="160"/>
  <c r="F21" i="159"/>
  <c r="F7" i="159"/>
  <c r="E15" i="157"/>
  <c r="I7" i="157"/>
  <c r="I9" i="157"/>
  <c r="C27" i="157"/>
  <c r="F15" i="157"/>
  <c r="H17" i="157"/>
  <c r="E19" i="157"/>
  <c r="I19" i="157"/>
  <c r="H25" i="157"/>
  <c r="E27" i="157"/>
  <c r="I27" i="157"/>
  <c r="C34" i="159"/>
  <c r="C7" i="159" s="1"/>
  <c r="J12" i="159"/>
  <c r="F23" i="159"/>
  <c r="D9" i="161"/>
  <c r="D13" i="161"/>
  <c r="D5" i="161"/>
  <c r="H13" i="161"/>
  <c r="H5" i="161"/>
  <c r="H9" i="161"/>
  <c r="D7" i="161"/>
  <c r="H7" i="161"/>
  <c r="D11" i="161"/>
  <c r="H11" i="161"/>
  <c r="D15" i="161"/>
  <c r="H15" i="161"/>
  <c r="D9" i="162"/>
  <c r="H9" i="162"/>
  <c r="I5" i="157"/>
  <c r="I11" i="157"/>
  <c r="B22" i="157"/>
  <c r="H13" i="157"/>
  <c r="H11" i="157"/>
  <c r="H9" i="157"/>
  <c r="H7" i="157"/>
  <c r="H5" i="157"/>
  <c r="H15" i="157"/>
  <c r="F19" i="157"/>
  <c r="H21" i="157"/>
  <c r="F27" i="157"/>
  <c r="E15" i="158"/>
  <c r="J6" i="158"/>
  <c r="J7" i="158" s="1"/>
  <c r="J10" i="158"/>
  <c r="J6" i="159"/>
  <c r="J14" i="159"/>
  <c r="I21" i="159"/>
  <c r="I13" i="159"/>
  <c r="I5" i="159"/>
  <c r="E13" i="160"/>
  <c r="E9" i="160"/>
  <c r="E5" i="160"/>
  <c r="I13" i="160"/>
  <c r="I9" i="160"/>
  <c r="I5" i="160"/>
  <c r="E7" i="160"/>
  <c r="E11" i="160"/>
  <c r="I11" i="160"/>
  <c r="E41" i="160"/>
  <c r="I41" i="160"/>
  <c r="E15" i="160"/>
  <c r="I15" i="160"/>
  <c r="E17" i="160"/>
  <c r="I17" i="160"/>
  <c r="E19" i="160"/>
  <c r="I19" i="160"/>
  <c r="E21" i="160"/>
  <c r="I21" i="160"/>
  <c r="E23" i="160"/>
  <c r="I23" i="160"/>
  <c r="E25" i="160"/>
  <c r="I25" i="160"/>
  <c r="E27" i="160"/>
  <c r="I27" i="160"/>
  <c r="E29" i="160"/>
  <c r="I29" i="160"/>
  <c r="E31" i="160"/>
  <c r="I31" i="160"/>
  <c r="E33" i="160"/>
  <c r="I33" i="160"/>
  <c r="E35" i="160"/>
  <c r="I35" i="160"/>
  <c r="I7" i="161"/>
  <c r="I9" i="161"/>
  <c r="I11" i="161"/>
  <c r="I13" i="161"/>
  <c r="I15" i="161"/>
  <c r="B27" i="160"/>
  <c r="F27" i="160"/>
  <c r="B31" i="160"/>
  <c r="F31" i="160"/>
  <c r="B45" i="160"/>
  <c r="F45" i="160"/>
  <c r="B35" i="160"/>
  <c r="F35" i="160"/>
  <c r="I25" i="157"/>
  <c r="I21" i="157"/>
  <c r="I17" i="157"/>
  <c r="D4" i="159"/>
  <c r="H4" i="159"/>
  <c r="J10" i="159"/>
  <c r="C7" i="162"/>
  <c r="G7" i="162"/>
  <c r="C9" i="162"/>
  <c r="G9" i="162"/>
  <c r="C36" i="160"/>
  <c r="C23" i="160" s="1"/>
  <c r="E42" i="160"/>
  <c r="E43" i="160" s="1"/>
  <c r="E38" i="166"/>
  <c r="E36" i="166"/>
  <c r="E5" i="166" s="1"/>
  <c r="I38" i="166"/>
  <c r="I36" i="166"/>
  <c r="K6" i="168"/>
  <c r="K40" i="169"/>
  <c r="Q50" i="170"/>
  <c r="I48" i="170"/>
  <c r="I81" i="170"/>
  <c r="Q82" i="170"/>
  <c r="E34" i="159"/>
  <c r="E27" i="159" s="1"/>
  <c r="G36" i="160"/>
  <c r="G5" i="160" s="1"/>
  <c r="E38" i="160"/>
  <c r="G40" i="160"/>
  <c r="I42" i="160"/>
  <c r="I43" i="160" s="1"/>
  <c r="E16" i="161"/>
  <c r="E9" i="161" s="1"/>
  <c r="J34" i="162"/>
  <c r="J14" i="157"/>
  <c r="J18" i="157"/>
  <c r="J26" i="157"/>
  <c r="B5" i="158"/>
  <c r="B7" i="158"/>
  <c r="B9" i="158"/>
  <c r="B11" i="158"/>
  <c r="J26" i="159"/>
  <c r="J30" i="159"/>
  <c r="J6" i="160"/>
  <c r="I7" i="160"/>
  <c r="J10" i="160"/>
  <c r="J14" i="160"/>
  <c r="J18" i="160"/>
  <c r="J22" i="160"/>
  <c r="J26" i="160"/>
  <c r="J30" i="160"/>
  <c r="J34" i="160"/>
  <c r="D36" i="160"/>
  <c r="D9" i="160" s="1"/>
  <c r="H36" i="160"/>
  <c r="H9" i="160" s="1"/>
  <c r="B38" i="160"/>
  <c r="F38" i="160"/>
  <c r="D40" i="160"/>
  <c r="H40" i="160"/>
  <c r="B42" i="160"/>
  <c r="F42" i="160"/>
  <c r="F43" i="160" s="1"/>
  <c r="D44" i="160"/>
  <c r="H44" i="160"/>
  <c r="J4" i="161"/>
  <c r="I5" i="161"/>
  <c r="J8" i="161"/>
  <c r="J12" i="161"/>
  <c r="B16" i="161"/>
  <c r="B9" i="161" s="1"/>
  <c r="F16" i="161"/>
  <c r="C5" i="162"/>
  <c r="G5" i="162"/>
  <c r="J6" i="162"/>
  <c r="B10" i="162"/>
  <c r="B7" i="162" s="1"/>
  <c r="F10" i="162"/>
  <c r="E15" i="162"/>
  <c r="E17" i="162"/>
  <c r="B18" i="162"/>
  <c r="B17" i="162" s="1"/>
  <c r="E29" i="162"/>
  <c r="I29" i="162"/>
  <c r="F29" i="162"/>
  <c r="J30" i="162"/>
  <c r="J32" i="162"/>
  <c r="B33" i="162"/>
  <c r="E45" i="162"/>
  <c r="I45" i="162"/>
  <c r="F45" i="162"/>
  <c r="J46" i="162"/>
  <c r="J48" i="162"/>
  <c r="B49" i="162"/>
  <c r="C51" i="162"/>
  <c r="G51" i="162"/>
  <c r="B51" i="162"/>
  <c r="K6" i="163"/>
  <c r="K10" i="163"/>
  <c r="K14" i="163"/>
  <c r="K18" i="163"/>
  <c r="H22" i="163"/>
  <c r="H24" i="163" s="1"/>
  <c r="H25" i="163" s="1"/>
  <c r="E14" i="164"/>
  <c r="E7" i="164" s="1"/>
  <c r="I14" i="164"/>
  <c r="I7" i="164" s="1"/>
  <c r="D36" i="166"/>
  <c r="D31" i="166" s="1"/>
  <c r="H38" i="166"/>
  <c r="D42" i="166"/>
  <c r="H42" i="166"/>
  <c r="C18" i="168"/>
  <c r="C15" i="168" s="1"/>
  <c r="K14" i="168"/>
  <c r="K57" i="168" s="1"/>
  <c r="J22" i="159"/>
  <c r="C42" i="160"/>
  <c r="G42" i="160"/>
  <c r="G43" i="160" s="1"/>
  <c r="E44" i="160"/>
  <c r="E45" i="160" s="1"/>
  <c r="I44" i="160"/>
  <c r="I45" i="160" s="1"/>
  <c r="C16" i="161"/>
  <c r="C5" i="161" s="1"/>
  <c r="G16" i="161"/>
  <c r="G5" i="161" s="1"/>
  <c r="D5" i="162"/>
  <c r="H5" i="162"/>
  <c r="J14" i="162"/>
  <c r="F15" i="162"/>
  <c r="F19" i="162" s="1"/>
  <c r="J16" i="162"/>
  <c r="I18" i="162"/>
  <c r="I15" i="162" s="1"/>
  <c r="E25" i="162"/>
  <c r="I25" i="162"/>
  <c r="F25" i="162"/>
  <c r="J26" i="162"/>
  <c r="J28" i="162"/>
  <c r="J29" i="162" s="1"/>
  <c r="B29" i="162"/>
  <c r="I35" i="162"/>
  <c r="E41" i="162"/>
  <c r="I41" i="162"/>
  <c r="F41" i="162"/>
  <c r="J42" i="162"/>
  <c r="J44" i="162"/>
  <c r="B45" i="162"/>
  <c r="C47" i="162"/>
  <c r="G47" i="162"/>
  <c r="E57" i="162"/>
  <c r="I57" i="162"/>
  <c r="F57" i="162"/>
  <c r="J58" i="162"/>
  <c r="C22" i="163"/>
  <c r="C15" i="163" s="1"/>
  <c r="K6" i="164"/>
  <c r="E4" i="165"/>
  <c r="I34" i="165"/>
  <c r="E34" i="165"/>
  <c r="K8" i="166"/>
  <c r="K16" i="166"/>
  <c r="K24" i="166"/>
  <c r="C44" i="166"/>
  <c r="K26" i="168"/>
  <c r="J4" i="160"/>
  <c r="J12" i="160"/>
  <c r="J32" i="160"/>
  <c r="C15" i="162"/>
  <c r="G15" i="162"/>
  <c r="J24" i="162"/>
  <c r="B25" i="162"/>
  <c r="C27" i="162"/>
  <c r="G27" i="162"/>
  <c r="E37" i="162"/>
  <c r="I37" i="162"/>
  <c r="F37" i="162"/>
  <c r="J40" i="162"/>
  <c r="B41" i="162"/>
  <c r="C43" i="162"/>
  <c r="G43" i="162"/>
  <c r="E53" i="162"/>
  <c r="I53" i="162"/>
  <c r="J56" i="162"/>
  <c r="J57" i="162" s="1"/>
  <c r="C59" i="162"/>
  <c r="G59" i="162"/>
  <c r="D22" i="163"/>
  <c r="D24" i="163" s="1"/>
  <c r="D25" i="163" s="1"/>
  <c r="C14" i="164"/>
  <c r="G14" i="164"/>
  <c r="G5" i="164" s="1"/>
  <c r="K4" i="164"/>
  <c r="D14" i="164"/>
  <c r="D11" i="164" s="1"/>
  <c r="K10" i="166"/>
  <c r="B36" i="166"/>
  <c r="K18" i="166"/>
  <c r="D21" i="166"/>
  <c r="K26" i="166"/>
  <c r="F42" i="166"/>
  <c r="B40" i="166"/>
  <c r="H11" i="167"/>
  <c r="G18" i="168"/>
  <c r="G17" i="168" s="1"/>
  <c r="F4" i="165"/>
  <c r="F5" i="165" s="1"/>
  <c r="B38" i="166"/>
  <c r="K4" i="166"/>
  <c r="F36" i="166"/>
  <c r="F11" i="166" s="1"/>
  <c r="J38" i="166"/>
  <c r="F40" i="166"/>
  <c r="J21" i="166"/>
  <c r="H44" i="166"/>
  <c r="D40" i="166"/>
  <c r="C10" i="168"/>
  <c r="C7" i="168" s="1"/>
  <c r="K4" i="168"/>
  <c r="G10" i="168"/>
  <c r="G5" i="168" s="1"/>
  <c r="B42" i="166"/>
  <c r="J23" i="166"/>
  <c r="D9" i="168"/>
  <c r="D7" i="168"/>
  <c r="H5" i="168"/>
  <c r="K16" i="168"/>
  <c r="C39" i="168"/>
  <c r="G39" i="168"/>
  <c r="K38" i="168"/>
  <c r="K10" i="164"/>
  <c r="B34" i="165"/>
  <c r="J34" i="165"/>
  <c r="D38" i="166"/>
  <c r="H36" i="166"/>
  <c r="H15" i="166" s="1"/>
  <c r="K6" i="166"/>
  <c r="H40" i="166"/>
  <c r="K14" i="166"/>
  <c r="B17" i="166"/>
  <c r="C42" i="166"/>
  <c r="G42" i="166"/>
  <c r="K22" i="166"/>
  <c r="B25" i="166"/>
  <c r="K30" i="166"/>
  <c r="K32" i="166"/>
  <c r="F44" i="166"/>
  <c r="G16" i="167"/>
  <c r="G15" i="167" s="1"/>
  <c r="K4" i="167"/>
  <c r="K10" i="167"/>
  <c r="C9" i="168"/>
  <c r="K8" i="168"/>
  <c r="C38" i="166"/>
  <c r="C36" i="166"/>
  <c r="C5" i="166" s="1"/>
  <c r="G38" i="166"/>
  <c r="G36" i="166"/>
  <c r="G15" i="166" s="1"/>
  <c r="K34" i="166"/>
  <c r="J42" i="166"/>
  <c r="J43" i="166" s="1"/>
  <c r="E16" i="167"/>
  <c r="E5" i="167" s="1"/>
  <c r="I16" i="167"/>
  <c r="I9" i="167" s="1"/>
  <c r="H15" i="168"/>
  <c r="C25" i="168"/>
  <c r="G25" i="168"/>
  <c r="K24" i="168"/>
  <c r="C29" i="168"/>
  <c r="G29" i="168"/>
  <c r="K28" i="168"/>
  <c r="C31" i="168"/>
  <c r="G31" i="168"/>
  <c r="K30" i="168"/>
  <c r="C40" i="166"/>
  <c r="G40" i="166"/>
  <c r="K12" i="166"/>
  <c r="K20" i="166"/>
  <c r="K28" i="166"/>
  <c r="K14" i="167"/>
  <c r="F7" i="168"/>
  <c r="F9" i="168"/>
  <c r="B5" i="168"/>
  <c r="F5" i="168"/>
  <c r="H29" i="168"/>
  <c r="D31" i="168"/>
  <c r="H31" i="168"/>
  <c r="B31" i="168"/>
  <c r="J31" i="168"/>
  <c r="E33" i="168"/>
  <c r="F35" i="168"/>
  <c r="C37" i="168"/>
  <c r="G37" i="168"/>
  <c r="K36" i="168"/>
  <c r="D39" i="168"/>
  <c r="H39" i="168"/>
  <c r="B39" i="168"/>
  <c r="J39" i="168"/>
  <c r="F43" i="168"/>
  <c r="C45" i="168"/>
  <c r="G45" i="168"/>
  <c r="K44" i="168"/>
  <c r="E9" i="169"/>
  <c r="I9" i="169"/>
  <c r="E59" i="168"/>
  <c r="E57" i="168"/>
  <c r="E55" i="168"/>
  <c r="E53" i="168"/>
  <c r="E51" i="168"/>
  <c r="E49" i="168"/>
  <c r="E47" i="168"/>
  <c r="E45" i="168"/>
  <c r="I59" i="168"/>
  <c r="I57" i="168"/>
  <c r="I55" i="168"/>
  <c r="I53" i="168"/>
  <c r="I51" i="168"/>
  <c r="I49" i="168"/>
  <c r="I47" i="168"/>
  <c r="I45" i="168"/>
  <c r="E18" i="168"/>
  <c r="I18" i="168"/>
  <c r="E31" i="168"/>
  <c r="F33" i="168"/>
  <c r="C35" i="168"/>
  <c r="G35" i="168"/>
  <c r="K34" i="168"/>
  <c r="I35" i="168"/>
  <c r="B37" i="168"/>
  <c r="J37" i="168"/>
  <c r="E39" i="168"/>
  <c r="F41" i="168"/>
  <c r="C43" i="168"/>
  <c r="G43" i="168"/>
  <c r="K42" i="168"/>
  <c r="I43" i="168"/>
  <c r="B45" i="168"/>
  <c r="K46" i="168"/>
  <c r="G47" i="168"/>
  <c r="B47" i="168"/>
  <c r="G49" i="168"/>
  <c r="B49" i="168"/>
  <c r="G51" i="168"/>
  <c r="B51" i="168"/>
  <c r="G53" i="168"/>
  <c r="B53" i="168"/>
  <c r="G55" i="168"/>
  <c r="B55" i="168"/>
  <c r="G57" i="168"/>
  <c r="B57" i="168"/>
  <c r="G59" i="168"/>
  <c r="B59" i="168"/>
  <c r="I89" i="170"/>
  <c r="B18" i="168"/>
  <c r="B17" i="168" s="1"/>
  <c r="F18" i="168"/>
  <c r="F17" i="168" s="1"/>
  <c r="J18" i="168"/>
  <c r="J17" i="168" s="1"/>
  <c r="F31" i="168"/>
  <c r="C33" i="168"/>
  <c r="G33" i="168"/>
  <c r="K32" i="168"/>
  <c r="K33" i="168" s="1"/>
  <c r="I33" i="168"/>
  <c r="B35" i="168"/>
  <c r="J35" i="168"/>
  <c r="E37" i="168"/>
  <c r="F39" i="168"/>
  <c r="C41" i="168"/>
  <c r="G41" i="168"/>
  <c r="K40" i="168"/>
  <c r="K41" i="168" s="1"/>
  <c r="I41" i="168"/>
  <c r="F45" i="168"/>
  <c r="F47" i="168"/>
  <c r="F49" i="168"/>
  <c r="D51" i="168"/>
  <c r="H51" i="168"/>
  <c r="F51" i="168"/>
  <c r="D53" i="168"/>
  <c r="H53" i="168"/>
  <c r="F53" i="168"/>
  <c r="D55" i="168"/>
  <c r="H55" i="168"/>
  <c r="F55" i="168"/>
  <c r="D57" i="168"/>
  <c r="H57" i="168"/>
  <c r="F57" i="168"/>
  <c r="D59" i="168"/>
  <c r="H59" i="168"/>
  <c r="K19" i="169"/>
  <c r="C47" i="168"/>
  <c r="C49" i="168"/>
  <c r="C51" i="168"/>
  <c r="C53" i="168"/>
  <c r="C55" i="168"/>
  <c r="C57" i="168"/>
  <c r="C59" i="168"/>
  <c r="P81" i="170"/>
  <c r="K17" i="169"/>
  <c r="P48" i="170"/>
  <c r="K15" i="169" l="1"/>
  <c r="E5" i="165"/>
  <c r="B21" i="165"/>
  <c r="B17" i="165"/>
  <c r="B9" i="165"/>
  <c r="B15" i="165"/>
  <c r="B19" i="165"/>
  <c r="B23" i="165"/>
  <c r="B25" i="165"/>
  <c r="B27" i="165"/>
  <c r="B29" i="165"/>
  <c r="B7" i="165"/>
  <c r="B13" i="165"/>
  <c r="B33" i="165"/>
  <c r="B11" i="165"/>
  <c r="B31" i="165"/>
  <c r="B5" i="165"/>
  <c r="C27" i="165"/>
  <c r="C15" i="165"/>
  <c r="C23" i="165"/>
  <c r="C7" i="165"/>
  <c r="C25" i="165"/>
  <c r="C9" i="165"/>
  <c r="C13" i="165"/>
  <c r="C21" i="165"/>
  <c r="C29" i="165"/>
  <c r="C33" i="165"/>
  <c r="C17" i="165"/>
  <c r="C11" i="165"/>
  <c r="C19" i="165"/>
  <c r="C31" i="165"/>
  <c r="H23" i="165"/>
  <c r="H27" i="165"/>
  <c r="H33" i="165"/>
  <c r="H29" i="165"/>
  <c r="H15" i="165"/>
  <c r="H11" i="165"/>
  <c r="H9" i="165"/>
  <c r="H17" i="165"/>
  <c r="H7" i="165"/>
  <c r="H31" i="165"/>
  <c r="H21" i="165"/>
  <c r="H19" i="165"/>
  <c r="H25" i="165"/>
  <c r="H13" i="165"/>
  <c r="J5" i="165"/>
  <c r="D29" i="165"/>
  <c r="D31" i="165"/>
  <c r="D27" i="165"/>
  <c r="D33" i="165"/>
  <c r="D23" i="165"/>
  <c r="D15" i="165"/>
  <c r="D13" i="165"/>
  <c r="D7" i="165"/>
  <c r="D9" i="165"/>
  <c r="D19" i="165"/>
  <c r="D11" i="165"/>
  <c r="D25" i="165"/>
  <c r="D21" i="165"/>
  <c r="D17" i="165"/>
  <c r="C5" i="165"/>
  <c r="I15" i="165"/>
  <c r="I33" i="165"/>
  <c r="I7" i="165"/>
  <c r="I13" i="165"/>
  <c r="I19" i="165"/>
  <c r="I25" i="165"/>
  <c r="I21" i="165"/>
  <c r="I27" i="165"/>
  <c r="I29" i="165"/>
  <c r="I23" i="165"/>
  <c r="I11" i="165"/>
  <c r="I31" i="165"/>
  <c r="I9" i="165"/>
  <c r="I17" i="165"/>
  <c r="J15" i="165"/>
  <c r="J21" i="165"/>
  <c r="J17" i="165"/>
  <c r="J9" i="165"/>
  <c r="J7" i="165"/>
  <c r="J25" i="165"/>
  <c r="J33" i="165"/>
  <c r="J19" i="165"/>
  <c r="J29" i="165"/>
  <c r="J27" i="165"/>
  <c r="J31" i="165"/>
  <c r="J11" i="165"/>
  <c r="J13" i="165"/>
  <c r="J23" i="165"/>
  <c r="E15" i="165"/>
  <c r="E21" i="165"/>
  <c r="E27" i="165"/>
  <c r="E33" i="165"/>
  <c r="E11" i="165"/>
  <c r="E9" i="165"/>
  <c r="E25" i="165"/>
  <c r="E31" i="165"/>
  <c r="E7" i="165"/>
  <c r="E13" i="165"/>
  <c r="E19" i="165"/>
  <c r="E17" i="165"/>
  <c r="E29" i="165"/>
  <c r="E23" i="165"/>
  <c r="F9" i="165"/>
  <c r="F7" i="165"/>
  <c r="F13" i="165"/>
  <c r="F11" i="165"/>
  <c r="F17" i="165"/>
  <c r="F15" i="165"/>
  <c r="F21" i="165"/>
  <c r="F19" i="165"/>
  <c r="F27" i="165"/>
  <c r="F29" i="165"/>
  <c r="F33" i="165"/>
  <c r="F31" i="165"/>
  <c r="F23" i="165"/>
  <c r="F25" i="165"/>
  <c r="I5" i="165"/>
  <c r="D5" i="165"/>
  <c r="G9" i="165"/>
  <c r="G29" i="165"/>
  <c r="G21" i="165"/>
  <c r="G23" i="165"/>
  <c r="G7" i="165"/>
  <c r="G15" i="165"/>
  <c r="G17" i="165"/>
  <c r="G27" i="165"/>
  <c r="G11" i="165"/>
  <c r="G13" i="165"/>
  <c r="G31" i="165"/>
  <c r="G33" i="165"/>
  <c r="G19" i="165"/>
  <c r="G25" i="165"/>
  <c r="C29" i="159"/>
  <c r="F31" i="159"/>
  <c r="J15" i="167"/>
  <c r="J5" i="167"/>
  <c r="J33" i="166"/>
  <c r="H13" i="164"/>
  <c r="H7" i="164"/>
  <c r="H11" i="164"/>
  <c r="Q73" i="170"/>
  <c r="K36" i="169"/>
  <c r="B21" i="169"/>
  <c r="B12" i="169" s="1"/>
  <c r="D21" i="169"/>
  <c r="D14" i="169" s="1"/>
  <c r="K11" i="169"/>
  <c r="G21" i="169"/>
  <c r="G18" i="169" s="1"/>
  <c r="E21" i="169"/>
  <c r="E6" i="169" s="1"/>
  <c r="I21" i="169"/>
  <c r="I14" i="169" s="1"/>
  <c r="J44" i="169"/>
  <c r="J39" i="169" s="1"/>
  <c r="B44" i="169"/>
  <c r="B43" i="169" s="1"/>
  <c r="C44" i="169"/>
  <c r="C41" i="169" s="1"/>
  <c r="I44" i="169"/>
  <c r="I35" i="169" s="1"/>
  <c r="K30" i="169"/>
  <c r="K43" i="168"/>
  <c r="K35" i="168"/>
  <c r="K25" i="168"/>
  <c r="K39" i="168"/>
  <c r="B7" i="168"/>
  <c r="H7" i="168"/>
  <c r="H11" i="168" s="1"/>
  <c r="I7" i="168"/>
  <c r="I5" i="168"/>
  <c r="K53" i="168"/>
  <c r="J7" i="167"/>
  <c r="J9" i="167"/>
  <c r="J13" i="167"/>
  <c r="J13" i="166"/>
  <c r="D29" i="166"/>
  <c r="J7" i="166"/>
  <c r="D41" i="166"/>
  <c r="J25" i="166"/>
  <c r="J31" i="166"/>
  <c r="I43" i="166"/>
  <c r="E45" i="166"/>
  <c r="G21" i="166"/>
  <c r="D13" i="166"/>
  <c r="G35" i="166"/>
  <c r="F33" i="166"/>
  <c r="D33" i="166"/>
  <c r="I45" i="166"/>
  <c r="H5" i="164"/>
  <c r="I5" i="164"/>
  <c r="D5" i="164"/>
  <c r="D13" i="164"/>
  <c r="I13" i="164"/>
  <c r="J41" i="162"/>
  <c r="G19" i="162"/>
  <c r="C19" i="162"/>
  <c r="G11" i="162"/>
  <c r="C11" i="162"/>
  <c r="G33" i="160"/>
  <c r="I33" i="159"/>
  <c r="I31" i="159"/>
  <c r="I9" i="159"/>
  <c r="I17" i="159"/>
  <c r="F9" i="159"/>
  <c r="F19" i="159"/>
  <c r="F17" i="159"/>
  <c r="F27" i="159"/>
  <c r="I7" i="159"/>
  <c r="I15" i="159"/>
  <c r="F15" i="159"/>
  <c r="F29" i="159"/>
  <c r="I27" i="159"/>
  <c r="I23" i="159"/>
  <c r="I29" i="159"/>
  <c r="I11" i="159"/>
  <c r="I19" i="159"/>
  <c r="F11" i="159"/>
  <c r="F25" i="159"/>
  <c r="F33" i="159"/>
  <c r="H15" i="158"/>
  <c r="F25" i="157"/>
  <c r="F13" i="157"/>
  <c r="B19" i="157"/>
  <c r="J22" i="157"/>
  <c r="K32" i="169"/>
  <c r="F44" i="169"/>
  <c r="F35" i="169" s="1"/>
  <c r="G44" i="169"/>
  <c r="G29" i="169" s="1"/>
  <c r="I8" i="169"/>
  <c r="H21" i="169"/>
  <c r="H10" i="169" s="1"/>
  <c r="D6" i="169"/>
  <c r="K9" i="169"/>
  <c r="D8" i="169"/>
  <c r="K55" i="168"/>
  <c r="K47" i="168"/>
  <c r="K29" i="168"/>
  <c r="D15" i="168"/>
  <c r="D19" i="168" s="1"/>
  <c r="K27" i="168"/>
  <c r="K45" i="168"/>
  <c r="K37" i="168"/>
  <c r="K31" i="168"/>
  <c r="J5" i="168"/>
  <c r="J7" i="168"/>
  <c r="I11" i="168"/>
  <c r="F11" i="168"/>
  <c r="F7" i="167"/>
  <c r="H41" i="166"/>
  <c r="J41" i="166"/>
  <c r="E11" i="164"/>
  <c r="E9" i="164"/>
  <c r="J21" i="163"/>
  <c r="E19" i="162"/>
  <c r="H11" i="162"/>
  <c r="E7" i="162"/>
  <c r="E11" i="162" s="1"/>
  <c r="D11" i="162"/>
  <c r="F5" i="159"/>
  <c r="G15" i="158"/>
  <c r="D15" i="158"/>
  <c r="C15" i="158"/>
  <c r="G9" i="157"/>
  <c r="F11" i="157"/>
  <c r="D19" i="157"/>
  <c r="G20" i="169"/>
  <c r="D20" i="169"/>
  <c r="K13" i="169"/>
  <c r="K5" i="169"/>
  <c r="K7" i="169"/>
  <c r="D10" i="169"/>
  <c r="J21" i="169"/>
  <c r="J8" i="169" s="1"/>
  <c r="F21" i="169"/>
  <c r="F20" i="169" s="1"/>
  <c r="C20" i="169"/>
  <c r="I18" i="169"/>
  <c r="K38" i="169"/>
  <c r="D44" i="169"/>
  <c r="D29" i="169" s="1"/>
  <c r="K34" i="169"/>
  <c r="H44" i="169"/>
  <c r="H33" i="169" s="1"/>
  <c r="C43" i="169"/>
  <c r="C10" i="169"/>
  <c r="B8" i="169"/>
  <c r="D12" i="169"/>
  <c r="E44" i="169"/>
  <c r="E29" i="169" s="1"/>
  <c r="K28" i="169"/>
  <c r="J15" i="168"/>
  <c r="J19" i="168" s="1"/>
  <c r="K51" i="168"/>
  <c r="K49" i="168"/>
  <c r="C17" i="168"/>
  <c r="C19" i="168" s="1"/>
  <c r="K59" i="168"/>
  <c r="E5" i="168"/>
  <c r="E9" i="168"/>
  <c r="G9" i="168"/>
  <c r="C5" i="168"/>
  <c r="C11" i="168" s="1"/>
  <c r="E7" i="168"/>
  <c r="H5" i="167"/>
  <c r="B7" i="167"/>
  <c r="H7" i="167"/>
  <c r="H15" i="167"/>
  <c r="H13" i="167"/>
  <c r="B11" i="167"/>
  <c r="B9" i="167"/>
  <c r="G41" i="166"/>
  <c r="I41" i="166"/>
  <c r="B45" i="166"/>
  <c r="B7" i="164"/>
  <c r="B5" i="164"/>
  <c r="B11" i="164"/>
  <c r="E13" i="164"/>
  <c r="E5" i="164"/>
  <c r="I13" i="163"/>
  <c r="I21" i="163"/>
  <c r="B13" i="163"/>
  <c r="H7" i="163"/>
  <c r="J25" i="162"/>
  <c r="I9" i="162"/>
  <c r="I5" i="162"/>
  <c r="E9" i="162"/>
  <c r="B15" i="162"/>
  <c r="B19" i="162" s="1"/>
  <c r="G46" i="160"/>
  <c r="D41" i="160"/>
  <c r="D45" i="160"/>
  <c r="C35" i="160"/>
  <c r="C43" i="160"/>
  <c r="C41" i="160"/>
  <c r="C33" i="160"/>
  <c r="C19" i="159"/>
  <c r="C33" i="159"/>
  <c r="G27" i="159"/>
  <c r="C21" i="159"/>
  <c r="C9" i="159"/>
  <c r="G31" i="159"/>
  <c r="C27" i="159"/>
  <c r="G17" i="159"/>
  <c r="C13" i="159"/>
  <c r="C31" i="159"/>
  <c r="C25" i="159"/>
  <c r="C17" i="159"/>
  <c r="C23" i="159"/>
  <c r="C11" i="159"/>
  <c r="C25" i="157"/>
  <c r="C9" i="157"/>
  <c r="D21" i="157"/>
  <c r="C21" i="157"/>
  <c r="D7" i="157"/>
  <c r="C13" i="157"/>
  <c r="C17" i="157"/>
  <c r="C5" i="157"/>
  <c r="C15" i="157"/>
  <c r="D9" i="157"/>
  <c r="C11" i="157"/>
  <c r="C19" i="157"/>
  <c r="D15" i="157"/>
  <c r="F17" i="157"/>
  <c r="F5" i="157"/>
  <c r="J9" i="158"/>
  <c r="J5" i="158"/>
  <c r="J11" i="158"/>
  <c r="D25" i="157"/>
  <c r="G17" i="157"/>
  <c r="D27" i="157"/>
  <c r="D11" i="157"/>
  <c r="B7" i="157"/>
  <c r="D17" i="157"/>
  <c r="G5" i="157"/>
  <c r="D5" i="157"/>
  <c r="B13" i="157"/>
  <c r="B5" i="157"/>
  <c r="G7" i="157"/>
  <c r="G15" i="157"/>
  <c r="B11" i="157"/>
  <c r="G13" i="157"/>
  <c r="G19" i="157"/>
  <c r="B9" i="157"/>
  <c r="G21" i="157"/>
  <c r="G25" i="157"/>
  <c r="G11" i="157"/>
  <c r="F15" i="167"/>
  <c r="D9" i="167"/>
  <c r="F9" i="167"/>
  <c r="F5" i="167"/>
  <c r="F13" i="167"/>
  <c r="B15" i="167"/>
  <c r="B5" i="167"/>
  <c r="G13" i="166"/>
  <c r="E43" i="166"/>
  <c r="D45" i="166"/>
  <c r="E41" i="166"/>
  <c r="K14" i="164"/>
  <c r="K9" i="164" s="1"/>
  <c r="J7" i="164"/>
  <c r="K22" i="163"/>
  <c r="K13" i="163" s="1"/>
  <c r="B27" i="163"/>
  <c r="H15" i="163"/>
  <c r="I5" i="163"/>
  <c r="I17" i="163"/>
  <c r="I15" i="163"/>
  <c r="I27" i="163"/>
  <c r="I19" i="163"/>
  <c r="J15" i="163"/>
  <c r="D7" i="163"/>
  <c r="B11" i="163"/>
  <c r="D27" i="163"/>
  <c r="D15" i="163"/>
  <c r="I9" i="163"/>
  <c r="I7" i="163"/>
  <c r="I24" i="163"/>
  <c r="I25" i="163" s="1"/>
  <c r="J13" i="163"/>
  <c r="C19" i="160"/>
  <c r="G29" i="160"/>
  <c r="D5" i="160"/>
  <c r="C13" i="160"/>
  <c r="C5" i="160"/>
  <c r="G41" i="160"/>
  <c r="C27" i="160"/>
  <c r="C11" i="167"/>
  <c r="D11" i="167"/>
  <c r="D5" i="167"/>
  <c r="D13" i="167"/>
  <c r="C7" i="167"/>
  <c r="C15" i="167"/>
  <c r="D7" i="167"/>
  <c r="C5" i="167"/>
  <c r="C13" i="167"/>
  <c r="C27" i="166"/>
  <c r="C11" i="166"/>
  <c r="C7" i="166"/>
  <c r="C21" i="166"/>
  <c r="C13" i="166"/>
  <c r="J15" i="166"/>
  <c r="J29" i="166"/>
  <c r="J5" i="166"/>
  <c r="J45" i="166"/>
  <c r="J35" i="166"/>
  <c r="J19" i="166"/>
  <c r="J9" i="166"/>
  <c r="C19" i="166"/>
  <c r="C35" i="166"/>
  <c r="C29" i="166"/>
  <c r="C41" i="166"/>
  <c r="F45" i="166"/>
  <c r="C31" i="166"/>
  <c r="B9" i="166"/>
  <c r="B5" i="166"/>
  <c r="B27" i="166"/>
  <c r="J17" i="166"/>
  <c r="J11" i="166"/>
  <c r="K34" i="165"/>
  <c r="I9" i="164"/>
  <c r="B9" i="164"/>
  <c r="I11" i="164"/>
  <c r="J11" i="164"/>
  <c r="J9" i="164"/>
  <c r="J5" i="164"/>
  <c r="F11" i="164"/>
  <c r="F13" i="164"/>
  <c r="F9" i="164"/>
  <c r="F7" i="164"/>
  <c r="G24" i="163"/>
  <c r="G25" i="163" s="1"/>
  <c r="G13" i="163"/>
  <c r="G5" i="163"/>
  <c r="E17" i="163"/>
  <c r="E15" i="163"/>
  <c r="E7" i="163"/>
  <c r="G17" i="163"/>
  <c r="E19" i="163"/>
  <c r="E11" i="163"/>
  <c r="E24" i="163"/>
  <c r="E25" i="163" s="1"/>
  <c r="G15" i="163"/>
  <c r="J11" i="163"/>
  <c r="J17" i="163"/>
  <c r="J9" i="163"/>
  <c r="E27" i="163"/>
  <c r="E13" i="163"/>
  <c r="E5" i="163"/>
  <c r="E9" i="163"/>
  <c r="G19" i="163"/>
  <c r="F24" i="163"/>
  <c r="F25" i="163" s="1"/>
  <c r="F27" i="163"/>
  <c r="F21" i="163"/>
  <c r="F19" i="163"/>
  <c r="F13" i="163"/>
  <c r="F11" i="163"/>
  <c r="F5" i="163"/>
  <c r="G7" i="163"/>
  <c r="J19" i="163"/>
  <c r="F17" i="163"/>
  <c r="F9" i="163"/>
  <c r="J7" i="163"/>
  <c r="J27" i="163"/>
  <c r="H27" i="163"/>
  <c r="D9" i="163"/>
  <c r="H19" i="163"/>
  <c r="H11" i="163"/>
  <c r="E21" i="163"/>
  <c r="G21" i="163"/>
  <c r="G11" i="163"/>
  <c r="B24" i="163"/>
  <c r="B25" i="163" s="1"/>
  <c r="B15" i="163"/>
  <c r="B7" i="163"/>
  <c r="B21" i="163"/>
  <c r="B19" i="163"/>
  <c r="G9" i="163"/>
  <c r="B17" i="163"/>
  <c r="B9" i="163"/>
  <c r="F7" i="163"/>
  <c r="J37" i="162"/>
  <c r="I17" i="161"/>
  <c r="H17" i="161"/>
  <c r="H45" i="160"/>
  <c r="H41" i="160"/>
  <c r="H5" i="160"/>
  <c r="G45" i="160"/>
  <c r="G25" i="160"/>
  <c r="C31" i="160"/>
  <c r="F41" i="169"/>
  <c r="C18" i="169"/>
  <c r="H39" i="169"/>
  <c r="H35" i="169"/>
  <c r="E14" i="169"/>
  <c r="J20" i="169"/>
  <c r="H20" i="169"/>
  <c r="H12" i="169"/>
  <c r="B15" i="168"/>
  <c r="B19" i="168" s="1"/>
  <c r="J17" i="167"/>
  <c r="J31" i="169"/>
  <c r="I16" i="169"/>
  <c r="H19" i="168"/>
  <c r="G9" i="167"/>
  <c r="G11" i="167"/>
  <c r="C43" i="166"/>
  <c r="C15" i="166"/>
  <c r="G7" i="166"/>
  <c r="H27" i="166"/>
  <c r="J39" i="166"/>
  <c r="J46" i="166"/>
  <c r="K38" i="166"/>
  <c r="B39" i="166"/>
  <c r="B46" i="166"/>
  <c r="D9" i="164"/>
  <c r="D7" i="164"/>
  <c r="K40" i="166"/>
  <c r="B41" i="166"/>
  <c r="F19" i="166"/>
  <c r="D13" i="163"/>
  <c r="C45" i="166"/>
  <c r="G9" i="166"/>
  <c r="D11" i="163"/>
  <c r="J59" i="162"/>
  <c r="J43" i="162"/>
  <c r="K18" i="168"/>
  <c r="K15" i="168" s="1"/>
  <c r="D43" i="166"/>
  <c r="H7" i="166"/>
  <c r="J33" i="162"/>
  <c r="F15" i="161"/>
  <c r="F11" i="161"/>
  <c r="F7" i="161"/>
  <c r="F39" i="160"/>
  <c r="F46" i="160"/>
  <c r="D17" i="163"/>
  <c r="G15" i="160"/>
  <c r="G11" i="160"/>
  <c r="G7" i="160"/>
  <c r="Q48" i="170"/>
  <c r="I35" i="166"/>
  <c r="I33" i="166"/>
  <c r="I25" i="166"/>
  <c r="I17" i="166"/>
  <c r="I9" i="166"/>
  <c r="I31" i="166"/>
  <c r="I23" i="166"/>
  <c r="I15" i="166"/>
  <c r="I7" i="166"/>
  <c r="I27" i="166"/>
  <c r="I19" i="166"/>
  <c r="I11" i="166"/>
  <c r="I29" i="166"/>
  <c r="I21" i="166"/>
  <c r="I13" i="166"/>
  <c r="E39" i="166"/>
  <c r="E46" i="166"/>
  <c r="H17" i="163"/>
  <c r="C15" i="160"/>
  <c r="C11" i="160"/>
  <c r="C7" i="160"/>
  <c r="G15" i="161"/>
  <c r="G11" i="161"/>
  <c r="G7" i="161"/>
  <c r="G35" i="160"/>
  <c r="G31" i="160"/>
  <c r="G27" i="160"/>
  <c r="G23" i="160"/>
  <c r="G19" i="160"/>
  <c r="G13" i="160"/>
  <c r="G33" i="159"/>
  <c r="G29" i="159"/>
  <c r="G25" i="159"/>
  <c r="G21" i="159"/>
  <c r="F13" i="161"/>
  <c r="J44" i="160"/>
  <c r="E15" i="161"/>
  <c r="E11" i="161"/>
  <c r="E7" i="161"/>
  <c r="E31" i="159"/>
  <c r="G19" i="159"/>
  <c r="B27" i="157"/>
  <c r="H29" i="160"/>
  <c r="H43" i="160"/>
  <c r="H17" i="160"/>
  <c r="D39" i="160"/>
  <c r="G11" i="159"/>
  <c r="C5" i="159"/>
  <c r="F37" i="160"/>
  <c r="G7" i="159"/>
  <c r="C15" i="159"/>
  <c r="C35" i="159" s="1"/>
  <c r="B33" i="169"/>
  <c r="B29" i="169"/>
  <c r="C6" i="169"/>
  <c r="B20" i="169"/>
  <c r="I17" i="168"/>
  <c r="I15" i="168"/>
  <c r="C29" i="169"/>
  <c r="I6" i="169"/>
  <c r="I13" i="167"/>
  <c r="I11" i="167"/>
  <c r="I5" i="167"/>
  <c r="G27" i="166"/>
  <c r="G19" i="166"/>
  <c r="G5" i="166"/>
  <c r="C46" i="166"/>
  <c r="C39" i="166"/>
  <c r="G31" i="166"/>
  <c r="G23" i="166"/>
  <c r="H15" i="164"/>
  <c r="I7" i="167"/>
  <c r="H11" i="166"/>
  <c r="H35" i="166"/>
  <c r="H25" i="166"/>
  <c r="F41" i="166"/>
  <c r="F46" i="166"/>
  <c r="F29" i="166"/>
  <c r="F21" i="166"/>
  <c r="F13" i="166"/>
  <c r="F25" i="166"/>
  <c r="F17" i="166"/>
  <c r="F9" i="166"/>
  <c r="F35" i="166"/>
  <c r="F31" i="166"/>
  <c r="F23" i="166"/>
  <c r="F15" i="166"/>
  <c r="F7" i="166"/>
  <c r="K36" i="166"/>
  <c r="K23" i="166" s="1"/>
  <c r="B35" i="166"/>
  <c r="B29" i="166"/>
  <c r="B21" i="166"/>
  <c r="B13" i="166"/>
  <c r="B33" i="166"/>
  <c r="B31" i="166"/>
  <c r="B23" i="166"/>
  <c r="B15" i="166"/>
  <c r="B7" i="166"/>
  <c r="G9" i="164"/>
  <c r="G13" i="164"/>
  <c r="G11" i="164"/>
  <c r="F39" i="166"/>
  <c r="G17" i="166"/>
  <c r="C9" i="166"/>
  <c r="C27" i="163"/>
  <c r="C24" i="163"/>
  <c r="C21" i="163"/>
  <c r="C17" i="163"/>
  <c r="C13" i="163"/>
  <c r="C9" i="163"/>
  <c r="C5" i="163"/>
  <c r="G15" i="168"/>
  <c r="G19" i="168" s="1"/>
  <c r="H23" i="166"/>
  <c r="D25" i="166"/>
  <c r="D17" i="166"/>
  <c r="D9" i="166"/>
  <c r="D5" i="166"/>
  <c r="D27" i="166"/>
  <c r="D19" i="166"/>
  <c r="D11" i="166"/>
  <c r="D35" i="166"/>
  <c r="J31" i="162"/>
  <c r="F5" i="162"/>
  <c r="F9" i="162"/>
  <c r="B11" i="161"/>
  <c r="B7" i="161"/>
  <c r="B15" i="161"/>
  <c r="J16" i="161"/>
  <c r="J13" i="161" s="1"/>
  <c r="B43" i="160"/>
  <c r="J42" i="160"/>
  <c r="B39" i="160"/>
  <c r="B46" i="160"/>
  <c r="J38" i="160"/>
  <c r="B15" i="158"/>
  <c r="H9" i="163"/>
  <c r="E21" i="159"/>
  <c r="E19" i="159"/>
  <c r="E17" i="159"/>
  <c r="E15" i="159"/>
  <c r="E13" i="159"/>
  <c r="E11" i="159"/>
  <c r="E9" i="159"/>
  <c r="E7" i="159"/>
  <c r="E5" i="159"/>
  <c r="G7" i="168"/>
  <c r="G11" i="168" s="1"/>
  <c r="I39" i="166"/>
  <c r="I46" i="166"/>
  <c r="H13" i="163"/>
  <c r="C15" i="161"/>
  <c r="C11" i="161"/>
  <c r="C7" i="161"/>
  <c r="G39" i="160"/>
  <c r="H34" i="159"/>
  <c r="H5" i="159" s="1"/>
  <c r="G5" i="159"/>
  <c r="C19" i="163"/>
  <c r="B13" i="161"/>
  <c r="E5" i="161"/>
  <c r="I46" i="160"/>
  <c r="E25" i="159"/>
  <c r="I23" i="157"/>
  <c r="D29" i="160"/>
  <c r="D43" i="160"/>
  <c r="D17" i="160"/>
  <c r="D46" i="160"/>
  <c r="B23" i="159"/>
  <c r="B27" i="159"/>
  <c r="C12" i="169"/>
  <c r="C8" i="169"/>
  <c r="E17" i="168"/>
  <c r="E15" i="168"/>
  <c r="I10" i="169"/>
  <c r="E9" i="167"/>
  <c r="E15" i="167"/>
  <c r="K16" i="167"/>
  <c r="K5" i="167" s="1"/>
  <c r="G43" i="166"/>
  <c r="H33" i="166"/>
  <c r="H29" i="166"/>
  <c r="H21" i="166"/>
  <c r="H13" i="166"/>
  <c r="H5" i="166"/>
  <c r="F12" i="169"/>
  <c r="K44" i="166"/>
  <c r="K42" i="166"/>
  <c r="B43" i="166"/>
  <c r="K10" i="168"/>
  <c r="K5" i="168" s="1"/>
  <c r="E13" i="167"/>
  <c r="H45" i="166"/>
  <c r="H9" i="166"/>
  <c r="F5" i="166"/>
  <c r="F43" i="166"/>
  <c r="B19" i="166"/>
  <c r="C13" i="164"/>
  <c r="C9" i="164"/>
  <c r="C5" i="164"/>
  <c r="C11" i="164"/>
  <c r="E7" i="167"/>
  <c r="G45" i="166"/>
  <c r="G25" i="166"/>
  <c r="C17" i="166"/>
  <c r="J18" i="162"/>
  <c r="J17" i="162" s="1"/>
  <c r="H43" i="166"/>
  <c r="D15" i="166"/>
  <c r="D7" i="166"/>
  <c r="J49" i="162"/>
  <c r="I17" i="162"/>
  <c r="I19" i="162" s="1"/>
  <c r="B9" i="162"/>
  <c r="B5" i="162"/>
  <c r="H35" i="160"/>
  <c r="H31" i="160"/>
  <c r="H15" i="160"/>
  <c r="H7" i="160"/>
  <c r="H19" i="160"/>
  <c r="H23" i="160"/>
  <c r="H27" i="160"/>
  <c r="H11" i="160"/>
  <c r="B33" i="159"/>
  <c r="B21" i="159"/>
  <c r="B19" i="159"/>
  <c r="B25" i="159"/>
  <c r="B17" i="159"/>
  <c r="B29" i="159"/>
  <c r="B9" i="159"/>
  <c r="B13" i="159"/>
  <c r="B5" i="159"/>
  <c r="B11" i="159"/>
  <c r="B7" i="159"/>
  <c r="B15" i="159"/>
  <c r="D5" i="163"/>
  <c r="H5" i="163"/>
  <c r="J55" i="162"/>
  <c r="G13" i="161"/>
  <c r="G9" i="161"/>
  <c r="G21" i="160"/>
  <c r="G17" i="160"/>
  <c r="G9" i="160"/>
  <c r="C46" i="160"/>
  <c r="J10" i="162"/>
  <c r="J7" i="162" s="1"/>
  <c r="F5" i="161"/>
  <c r="G7" i="164"/>
  <c r="J53" i="162"/>
  <c r="E13" i="161"/>
  <c r="E37" i="160"/>
  <c r="E33" i="159"/>
  <c r="E29" i="159"/>
  <c r="G23" i="159"/>
  <c r="H23" i="157"/>
  <c r="C7" i="163"/>
  <c r="H33" i="160"/>
  <c r="H25" i="160"/>
  <c r="H21" i="160"/>
  <c r="H13" i="160"/>
  <c r="H39" i="160"/>
  <c r="J40" i="160"/>
  <c r="E23" i="157"/>
  <c r="J29" i="169"/>
  <c r="C37" i="169"/>
  <c r="H29" i="169"/>
  <c r="I20" i="169"/>
  <c r="G6" i="169"/>
  <c r="C14" i="169"/>
  <c r="F15" i="168"/>
  <c r="F19" i="168" s="1"/>
  <c r="B11" i="168"/>
  <c r="G33" i="166"/>
  <c r="B31" i="169"/>
  <c r="G29" i="166"/>
  <c r="G11" i="166"/>
  <c r="G46" i="166"/>
  <c r="G39" i="166"/>
  <c r="D18" i="169"/>
  <c r="D16" i="169"/>
  <c r="G13" i="167"/>
  <c r="G5" i="167"/>
  <c r="C23" i="166"/>
  <c r="D46" i="166"/>
  <c r="D39" i="166"/>
  <c r="H19" i="166"/>
  <c r="E11" i="167"/>
  <c r="H17" i="166"/>
  <c r="F27" i="166"/>
  <c r="B11" i="166"/>
  <c r="K4" i="165"/>
  <c r="K5" i="165" s="1"/>
  <c r="J36" i="160"/>
  <c r="J35" i="160" s="1"/>
  <c r="I15" i="167"/>
  <c r="C33" i="166"/>
  <c r="C25" i="166"/>
  <c r="D19" i="163"/>
  <c r="J45" i="162"/>
  <c r="J27" i="162"/>
  <c r="H31" i="166"/>
  <c r="D23" i="166"/>
  <c r="H39" i="166"/>
  <c r="H46" i="166"/>
  <c r="J47" i="162"/>
  <c r="D23" i="160"/>
  <c r="D19" i="160"/>
  <c r="D35" i="160"/>
  <c r="D11" i="160"/>
  <c r="D27" i="160"/>
  <c r="D31" i="160"/>
  <c r="D15" i="160"/>
  <c r="D7" i="160"/>
  <c r="D21" i="163"/>
  <c r="J35" i="162"/>
  <c r="E46" i="160"/>
  <c r="E39" i="160"/>
  <c r="Q81" i="170"/>
  <c r="G7" i="167"/>
  <c r="I5" i="166"/>
  <c r="E35" i="166"/>
  <c r="E33" i="166"/>
  <c r="E31" i="166"/>
  <c r="E23" i="166"/>
  <c r="E15" i="166"/>
  <c r="E7" i="166"/>
  <c r="E29" i="166"/>
  <c r="E21" i="166"/>
  <c r="E13" i="166"/>
  <c r="E27" i="166"/>
  <c r="E19" i="166"/>
  <c r="E11" i="166"/>
  <c r="E25" i="166"/>
  <c r="E17" i="166"/>
  <c r="E9" i="166"/>
  <c r="H21" i="163"/>
  <c r="J51" i="162"/>
  <c r="C13" i="161"/>
  <c r="C9" i="161"/>
  <c r="C45" i="160"/>
  <c r="C29" i="160"/>
  <c r="C25" i="160"/>
  <c r="C21" i="160"/>
  <c r="C17" i="160"/>
  <c r="C9" i="160"/>
  <c r="C39" i="160"/>
  <c r="E23" i="159"/>
  <c r="G9" i="159"/>
  <c r="D34" i="159"/>
  <c r="D5" i="159" s="1"/>
  <c r="J4" i="159"/>
  <c r="C11" i="163"/>
  <c r="F7" i="162"/>
  <c r="F9" i="161"/>
  <c r="B5" i="161"/>
  <c r="C7" i="164"/>
  <c r="I37" i="160"/>
  <c r="G13" i="159"/>
  <c r="J15" i="157"/>
  <c r="B21" i="157"/>
  <c r="B25" i="157"/>
  <c r="B17" i="157"/>
  <c r="J39" i="162"/>
  <c r="D17" i="161"/>
  <c r="D33" i="160"/>
  <c r="D25" i="160"/>
  <c r="D21" i="160"/>
  <c r="D13" i="160"/>
  <c r="H46" i="160"/>
  <c r="B15" i="157"/>
  <c r="B37" i="160"/>
  <c r="E10" i="169" l="1"/>
  <c r="E8" i="169"/>
  <c r="B39" i="169"/>
  <c r="F16" i="169"/>
  <c r="D35" i="169"/>
  <c r="F33" i="169"/>
  <c r="B41" i="169"/>
  <c r="B10" i="169"/>
  <c r="B22" i="169" s="1"/>
  <c r="C35" i="169"/>
  <c r="E18" i="169"/>
  <c r="C33" i="169"/>
  <c r="C39" i="169"/>
  <c r="K21" i="169"/>
  <c r="K14" i="169" s="1"/>
  <c r="E20" i="169"/>
  <c r="F29" i="169"/>
  <c r="B16" i="169"/>
  <c r="E16" i="169"/>
  <c r="C31" i="169"/>
  <c r="B6" i="169"/>
  <c r="F18" i="169"/>
  <c r="B35" i="169"/>
  <c r="B18" i="169"/>
  <c r="B37" i="169"/>
  <c r="B45" i="169" s="1"/>
  <c r="E12" i="169"/>
  <c r="E22" i="169" s="1"/>
  <c r="B14" i="169"/>
  <c r="G35" i="165"/>
  <c r="C35" i="165"/>
  <c r="K11" i="165"/>
  <c r="K7" i="165"/>
  <c r="K31" i="165"/>
  <c r="K19" i="165"/>
  <c r="K33" i="165"/>
  <c r="K15" i="165"/>
  <c r="K13" i="165"/>
  <c r="K17" i="165"/>
  <c r="K25" i="165"/>
  <c r="K29" i="165"/>
  <c r="K9" i="165"/>
  <c r="K27" i="165"/>
  <c r="K23" i="165"/>
  <c r="K21" i="165"/>
  <c r="F35" i="159"/>
  <c r="I35" i="159"/>
  <c r="B17" i="167"/>
  <c r="I15" i="164"/>
  <c r="K7" i="163"/>
  <c r="D41" i="169"/>
  <c r="J41" i="169"/>
  <c r="G37" i="169"/>
  <c r="G33" i="169"/>
  <c r="J33" i="169"/>
  <c r="J35" i="169"/>
  <c r="J45" i="169" s="1"/>
  <c r="J37" i="169"/>
  <c r="J43" i="169"/>
  <c r="I43" i="169"/>
  <c r="G43" i="169"/>
  <c r="H31" i="169"/>
  <c r="J12" i="169"/>
  <c r="J16" i="169"/>
  <c r="H6" i="169"/>
  <c r="H22" i="169" s="1"/>
  <c r="J14" i="169"/>
  <c r="H16" i="169"/>
  <c r="G8" i="169"/>
  <c r="G10" i="169"/>
  <c r="J10" i="169"/>
  <c r="G16" i="169"/>
  <c r="H14" i="169"/>
  <c r="G14" i="169"/>
  <c r="H8" i="169"/>
  <c r="J6" i="169"/>
  <c r="H18" i="169"/>
  <c r="J18" i="169"/>
  <c r="G12" i="169"/>
  <c r="K10" i="169"/>
  <c r="K20" i="169"/>
  <c r="I12" i="169"/>
  <c r="I22" i="169" s="1"/>
  <c r="I37" i="169"/>
  <c r="G41" i="169"/>
  <c r="D31" i="169"/>
  <c r="I39" i="169"/>
  <c r="D33" i="169"/>
  <c r="I41" i="169"/>
  <c r="G39" i="169"/>
  <c r="I29" i="169"/>
  <c r="D39" i="169"/>
  <c r="I33" i="169"/>
  <c r="I31" i="169"/>
  <c r="D43" i="169"/>
  <c r="D37" i="169"/>
  <c r="G31" i="169"/>
  <c r="G35" i="169"/>
  <c r="J11" i="168"/>
  <c r="E11" i="168"/>
  <c r="H17" i="167"/>
  <c r="F17" i="167"/>
  <c r="K45" i="166"/>
  <c r="E15" i="164"/>
  <c r="K7" i="164"/>
  <c r="B15" i="164"/>
  <c r="K5" i="164"/>
  <c r="K13" i="164"/>
  <c r="K11" i="164"/>
  <c r="K15" i="163"/>
  <c r="K19" i="163"/>
  <c r="K5" i="163"/>
  <c r="I11" i="162"/>
  <c r="J15" i="158"/>
  <c r="B23" i="157"/>
  <c r="F23" i="157"/>
  <c r="F31" i="169"/>
  <c r="F37" i="169"/>
  <c r="H43" i="169"/>
  <c r="K39" i="169"/>
  <c r="F43" i="169"/>
  <c r="H37" i="169"/>
  <c r="F39" i="169"/>
  <c r="H41" i="169"/>
  <c r="D22" i="169"/>
  <c r="F14" i="169"/>
  <c r="K12" i="169"/>
  <c r="F10" i="169"/>
  <c r="F8" i="169"/>
  <c r="I19" i="168"/>
  <c r="K33" i="166"/>
  <c r="K11" i="166"/>
  <c r="J37" i="166"/>
  <c r="K15" i="166"/>
  <c r="F35" i="165"/>
  <c r="K21" i="163"/>
  <c r="K17" i="163"/>
  <c r="K11" i="163"/>
  <c r="K27" i="163"/>
  <c r="K9" i="163"/>
  <c r="D23" i="157"/>
  <c r="G23" i="157"/>
  <c r="C23" i="157"/>
  <c r="F6" i="169"/>
  <c r="K16" i="169"/>
  <c r="K43" i="169"/>
  <c r="E35" i="169"/>
  <c r="K18" i="169"/>
  <c r="K8" i="169"/>
  <c r="K6" i="169"/>
  <c r="E39" i="169"/>
  <c r="E37" i="169"/>
  <c r="E41" i="169"/>
  <c r="E31" i="169"/>
  <c r="E43" i="169"/>
  <c r="E33" i="169"/>
  <c r="K17" i="168"/>
  <c r="K19" i="168" s="1"/>
  <c r="D35" i="165"/>
  <c r="J15" i="162"/>
  <c r="J19" i="162" s="1"/>
  <c r="E37" i="166"/>
  <c r="H35" i="165"/>
  <c r="D15" i="164"/>
  <c r="F15" i="164"/>
  <c r="I23" i="163"/>
  <c r="J23" i="163"/>
  <c r="E23" i="163"/>
  <c r="B23" i="163"/>
  <c r="H37" i="160"/>
  <c r="D17" i="167"/>
  <c r="E17" i="167"/>
  <c r="C17" i="167"/>
  <c r="C37" i="166"/>
  <c r="I37" i="166"/>
  <c r="B37" i="166"/>
  <c r="K7" i="166"/>
  <c r="K19" i="166"/>
  <c r="K9" i="166"/>
  <c r="K5" i="166"/>
  <c r="K43" i="166"/>
  <c r="K29" i="166"/>
  <c r="K25" i="166"/>
  <c r="E35" i="165"/>
  <c r="J35" i="165"/>
  <c r="G15" i="164"/>
  <c r="G23" i="163"/>
  <c r="F23" i="163"/>
  <c r="C17" i="161"/>
  <c r="J9" i="161"/>
  <c r="B17" i="161"/>
  <c r="G17" i="161"/>
  <c r="D37" i="160"/>
  <c r="C37" i="160"/>
  <c r="G37" i="160"/>
  <c r="J7" i="160"/>
  <c r="J34" i="159"/>
  <c r="J5" i="159" s="1"/>
  <c r="J5" i="160"/>
  <c r="J41" i="160"/>
  <c r="H23" i="163"/>
  <c r="D23" i="163"/>
  <c r="B11" i="162"/>
  <c r="J39" i="160"/>
  <c r="F11" i="162"/>
  <c r="I17" i="167"/>
  <c r="K21" i="166"/>
  <c r="C22" i="169"/>
  <c r="K31" i="166"/>
  <c r="K9" i="168"/>
  <c r="K13" i="166"/>
  <c r="J25" i="160"/>
  <c r="J29" i="160"/>
  <c r="J21" i="160"/>
  <c r="J9" i="160"/>
  <c r="J17" i="160"/>
  <c r="J27" i="157"/>
  <c r="C15" i="164"/>
  <c r="H37" i="166"/>
  <c r="K9" i="167"/>
  <c r="K7" i="167"/>
  <c r="K13" i="167"/>
  <c r="E17" i="161"/>
  <c r="E35" i="159"/>
  <c r="J15" i="161"/>
  <c r="J11" i="161"/>
  <c r="J7" i="161"/>
  <c r="G37" i="166"/>
  <c r="K41" i="166"/>
  <c r="K39" i="166"/>
  <c r="B35" i="165"/>
  <c r="K15" i="167"/>
  <c r="D31" i="159"/>
  <c r="D27" i="159"/>
  <c r="D9" i="159"/>
  <c r="D21" i="159"/>
  <c r="D25" i="159"/>
  <c r="D33" i="159"/>
  <c r="D19" i="159"/>
  <c r="D17" i="159"/>
  <c r="D11" i="159"/>
  <c r="D13" i="159"/>
  <c r="D29" i="159"/>
  <c r="D15" i="159"/>
  <c r="D23" i="159"/>
  <c r="D7" i="159"/>
  <c r="J15" i="160"/>
  <c r="G17" i="167"/>
  <c r="F17" i="161"/>
  <c r="J19" i="160"/>
  <c r="F37" i="166"/>
  <c r="E19" i="168"/>
  <c r="H31" i="159"/>
  <c r="H27" i="159"/>
  <c r="H13" i="159"/>
  <c r="H23" i="159"/>
  <c r="H9" i="159"/>
  <c r="H21" i="159"/>
  <c r="H25" i="159"/>
  <c r="H33" i="159"/>
  <c r="H7" i="159"/>
  <c r="H19" i="159"/>
  <c r="H17" i="159"/>
  <c r="H11" i="159"/>
  <c r="H29" i="159"/>
  <c r="H15" i="159"/>
  <c r="J11" i="160"/>
  <c r="J5" i="161"/>
  <c r="C23" i="163"/>
  <c r="K7" i="168"/>
  <c r="K11" i="168" s="1"/>
  <c r="K35" i="166"/>
  <c r="J11" i="157"/>
  <c r="J13" i="157"/>
  <c r="J17" i="157"/>
  <c r="J21" i="157"/>
  <c r="J7" i="157"/>
  <c r="J25" i="157"/>
  <c r="J5" i="157"/>
  <c r="J9" i="157"/>
  <c r="J19" i="157"/>
  <c r="J31" i="160"/>
  <c r="J9" i="162"/>
  <c r="J5" i="162"/>
  <c r="B35" i="159"/>
  <c r="J13" i="160"/>
  <c r="J23" i="160"/>
  <c r="J43" i="160"/>
  <c r="D37" i="166"/>
  <c r="K24" i="163"/>
  <c r="K25" i="163" s="1"/>
  <c r="C25" i="163"/>
  <c r="J33" i="160"/>
  <c r="C45" i="169"/>
  <c r="G35" i="159"/>
  <c r="J45" i="160"/>
  <c r="K41" i="169"/>
  <c r="J27" i="160"/>
  <c r="I35" i="165"/>
  <c r="K17" i="166"/>
  <c r="K27" i="166"/>
  <c r="K11" i="167"/>
  <c r="D45" i="169" l="1"/>
  <c r="G22" i="169"/>
  <c r="J22" i="169"/>
  <c r="H45" i="169"/>
  <c r="K15" i="164"/>
  <c r="G45" i="169"/>
  <c r="E45" i="169"/>
  <c r="F45" i="169"/>
  <c r="I45" i="169"/>
  <c r="K23" i="163"/>
  <c r="K29" i="169"/>
  <c r="K33" i="169"/>
  <c r="K31" i="169"/>
  <c r="K37" i="169"/>
  <c r="K35" i="169"/>
  <c r="F22" i="169"/>
  <c r="K22" i="169"/>
  <c r="J11" i="162"/>
  <c r="J23" i="157"/>
  <c r="K35" i="165"/>
  <c r="K17" i="167"/>
  <c r="K37" i="166"/>
  <c r="J17" i="161"/>
  <c r="H35" i="159"/>
  <c r="D35" i="159"/>
  <c r="J25" i="159"/>
  <c r="J21" i="159"/>
  <c r="J29" i="159"/>
  <c r="J33" i="159"/>
  <c r="J17" i="159"/>
  <c r="J9" i="159"/>
  <c r="J19" i="159"/>
  <c r="J23" i="159"/>
  <c r="J15" i="159"/>
  <c r="J27" i="159"/>
  <c r="J11" i="159"/>
  <c r="J31" i="159"/>
  <c r="J7" i="159"/>
  <c r="J13" i="159"/>
  <c r="J37" i="160"/>
  <c r="K45" i="169" l="1"/>
  <c r="J35" i="159"/>
  <c r="E63" i="150"/>
  <c r="E62" i="150"/>
  <c r="E61" i="150"/>
  <c r="E60" i="150"/>
  <c r="E59" i="150"/>
  <c r="E58" i="150"/>
  <c r="E57" i="150"/>
  <c r="E56" i="150"/>
  <c r="E55" i="150"/>
  <c r="E54" i="150"/>
  <c r="E53" i="150"/>
  <c r="E52" i="150"/>
  <c r="E51" i="150"/>
  <c r="E50" i="150"/>
  <c r="E49" i="150"/>
  <c r="E48" i="150"/>
  <c r="E47" i="150"/>
  <c r="E46" i="150"/>
  <c r="C63" i="150"/>
  <c r="C62" i="150"/>
  <c r="C61" i="150"/>
  <c r="C60" i="150"/>
  <c r="C59" i="150"/>
  <c r="C58" i="150"/>
  <c r="C57" i="150"/>
  <c r="C56" i="150"/>
  <c r="C55" i="150"/>
  <c r="C54" i="150"/>
  <c r="C53" i="150"/>
  <c r="C52" i="150"/>
  <c r="C51" i="150"/>
  <c r="C50" i="150"/>
  <c r="C49" i="150"/>
  <c r="C48" i="150"/>
  <c r="C47" i="150"/>
  <c r="C46" i="150"/>
  <c r="E43" i="150"/>
  <c r="E42" i="150"/>
  <c r="C43" i="150"/>
  <c r="C42" i="150"/>
  <c r="E38" i="150"/>
  <c r="E37" i="150"/>
  <c r="E36" i="150"/>
  <c r="C38" i="150"/>
  <c r="C37" i="150"/>
  <c r="C36" i="150"/>
  <c r="E31" i="150"/>
  <c r="E30" i="150"/>
  <c r="E29" i="150"/>
  <c r="E28" i="150"/>
  <c r="E27" i="150"/>
  <c r="E26" i="150"/>
  <c r="E25" i="150"/>
  <c r="E24" i="150"/>
  <c r="E23" i="150"/>
  <c r="E22" i="150"/>
  <c r="E21" i="150"/>
  <c r="E20" i="150"/>
  <c r="E19" i="150"/>
  <c r="E18" i="150"/>
  <c r="E17" i="150"/>
  <c r="E16" i="150"/>
  <c r="E15" i="150"/>
  <c r="E14" i="150"/>
  <c r="C31" i="150"/>
  <c r="C30" i="150"/>
  <c r="C29" i="150"/>
  <c r="C28" i="150"/>
  <c r="C27" i="150"/>
  <c r="C26" i="150"/>
  <c r="C25" i="150"/>
  <c r="C24" i="150"/>
  <c r="C23" i="150"/>
  <c r="C22" i="150"/>
  <c r="C21" i="150"/>
  <c r="C20" i="150"/>
  <c r="C19" i="150"/>
  <c r="C18" i="150"/>
  <c r="C17" i="150"/>
  <c r="C16" i="150"/>
  <c r="C15" i="150"/>
  <c r="C14" i="150"/>
  <c r="E11" i="150"/>
  <c r="E10" i="150"/>
  <c r="C11" i="150"/>
  <c r="C10" i="150"/>
  <c r="E6" i="150"/>
  <c r="E5" i="150"/>
  <c r="E4" i="150"/>
  <c r="C6" i="150"/>
  <c r="C5" i="150"/>
  <c r="C4" i="150"/>
  <c r="I31" i="123" l="1"/>
  <c r="I30" i="123"/>
  <c r="G31" i="123"/>
  <c r="G30" i="123"/>
  <c r="E31" i="123"/>
  <c r="E30" i="123"/>
  <c r="C31" i="123"/>
  <c r="C30" i="123"/>
  <c r="I28" i="123"/>
  <c r="I27" i="123"/>
  <c r="I26" i="123"/>
  <c r="I25" i="123"/>
  <c r="I24" i="123"/>
  <c r="I23" i="123"/>
  <c r="I22" i="123"/>
  <c r="I21" i="123"/>
  <c r="I20" i="123"/>
  <c r="G28" i="123"/>
  <c r="G27" i="123"/>
  <c r="G26" i="123"/>
  <c r="G25" i="123"/>
  <c r="G24" i="123"/>
  <c r="G23" i="123"/>
  <c r="G22" i="123"/>
  <c r="G21" i="123"/>
  <c r="G20" i="123"/>
  <c r="E28" i="123"/>
  <c r="E27" i="123"/>
  <c r="E26" i="123"/>
  <c r="E25" i="123"/>
  <c r="E24" i="123"/>
  <c r="E23" i="123"/>
  <c r="E22" i="123"/>
  <c r="E21" i="123"/>
  <c r="E20" i="123"/>
  <c r="C28" i="123"/>
  <c r="C27" i="123"/>
  <c r="C26" i="123"/>
  <c r="C25" i="123"/>
  <c r="C24" i="123"/>
  <c r="C23" i="123"/>
  <c r="C22" i="123"/>
  <c r="C21" i="123"/>
  <c r="C20" i="123"/>
  <c r="I15" i="123"/>
  <c r="I14" i="123"/>
  <c r="G15" i="123"/>
  <c r="G14" i="123"/>
  <c r="E15" i="123"/>
  <c r="E14" i="123"/>
  <c r="C15" i="123"/>
  <c r="C14" i="123"/>
  <c r="I12" i="123"/>
  <c r="I11" i="123"/>
  <c r="I10" i="123"/>
  <c r="I9" i="123"/>
  <c r="I8" i="123"/>
  <c r="I7" i="123"/>
  <c r="I6" i="123"/>
  <c r="I5" i="123"/>
  <c r="I4" i="123"/>
  <c r="G12" i="123"/>
  <c r="G11" i="123"/>
  <c r="G10" i="123"/>
  <c r="G9" i="123"/>
  <c r="G8" i="123"/>
  <c r="G7" i="123"/>
  <c r="G6" i="123"/>
  <c r="G5" i="123"/>
  <c r="G4" i="123"/>
  <c r="E12" i="123"/>
  <c r="E11" i="123"/>
  <c r="E10" i="123"/>
  <c r="E9" i="123"/>
  <c r="E8" i="123"/>
  <c r="E7" i="123"/>
  <c r="E6" i="123"/>
  <c r="E5" i="123"/>
  <c r="E4" i="123"/>
  <c r="C12" i="123"/>
  <c r="C11" i="123"/>
  <c r="C10" i="123"/>
  <c r="C9" i="123"/>
  <c r="C8" i="123"/>
  <c r="C7" i="123"/>
  <c r="C6" i="123"/>
  <c r="C5" i="123"/>
  <c r="C4" i="123"/>
  <c r="I33" i="122"/>
  <c r="I32" i="122"/>
  <c r="G33" i="122"/>
  <c r="G32" i="122"/>
  <c r="G30" i="122"/>
  <c r="G29" i="122"/>
  <c r="G28" i="122"/>
  <c r="G27" i="122"/>
  <c r="G26" i="122"/>
  <c r="G25" i="122"/>
  <c r="G24" i="122"/>
  <c r="G23" i="122"/>
  <c r="G22" i="122"/>
  <c r="E30" i="122"/>
  <c r="E29" i="122"/>
  <c r="E28" i="122"/>
  <c r="E27" i="122"/>
  <c r="E26" i="122"/>
  <c r="E25" i="122"/>
  <c r="E24" i="122"/>
  <c r="E23" i="122"/>
  <c r="E22" i="122"/>
  <c r="C30" i="122"/>
  <c r="C29" i="122"/>
  <c r="C28" i="122"/>
  <c r="C27" i="122"/>
  <c r="C26" i="122"/>
  <c r="C25" i="122"/>
  <c r="C24" i="122"/>
  <c r="C23" i="122"/>
  <c r="C22" i="122"/>
  <c r="I16" i="122"/>
  <c r="I15" i="122"/>
  <c r="G16" i="122"/>
  <c r="G15" i="122"/>
  <c r="E16" i="122"/>
  <c r="E15" i="122"/>
  <c r="C16" i="122"/>
  <c r="C15" i="122"/>
  <c r="I13" i="122"/>
  <c r="I12" i="122"/>
  <c r="I11" i="122"/>
  <c r="I10" i="122"/>
  <c r="I9" i="122"/>
  <c r="I8" i="122"/>
  <c r="I7" i="122"/>
  <c r="I6" i="122"/>
  <c r="I5" i="122"/>
  <c r="G13" i="122"/>
  <c r="G12" i="122"/>
  <c r="G11" i="122"/>
  <c r="G10" i="122"/>
  <c r="G9" i="122"/>
  <c r="G8" i="122"/>
  <c r="G7" i="122"/>
  <c r="G6" i="122"/>
  <c r="G5" i="122"/>
  <c r="E13" i="122"/>
  <c r="E12" i="122"/>
  <c r="E11" i="122"/>
  <c r="E10" i="122"/>
  <c r="E9" i="122"/>
  <c r="E8" i="122"/>
  <c r="E7" i="122"/>
  <c r="E6" i="122"/>
  <c r="E5" i="122"/>
  <c r="C13" i="122"/>
  <c r="C12" i="122"/>
  <c r="C11" i="122"/>
  <c r="C10" i="122"/>
  <c r="C9" i="122"/>
  <c r="C8" i="122"/>
  <c r="C7" i="122"/>
  <c r="C6" i="122"/>
  <c r="C5" i="122"/>
  <c r="I31" i="121"/>
  <c r="I30" i="121"/>
  <c r="I28" i="121"/>
  <c r="I27" i="121"/>
  <c r="I26" i="121"/>
  <c r="I25" i="121"/>
  <c r="I24" i="121"/>
  <c r="I23" i="121"/>
  <c r="I22" i="121"/>
  <c r="I21" i="121"/>
  <c r="I20" i="121"/>
  <c r="G20" i="121"/>
  <c r="E28" i="121"/>
  <c r="E27" i="121"/>
  <c r="E26" i="121"/>
  <c r="E25" i="121"/>
  <c r="E24" i="121"/>
  <c r="E23" i="121"/>
  <c r="E22" i="121"/>
  <c r="E21" i="121"/>
  <c r="E20" i="121"/>
  <c r="C28" i="121"/>
  <c r="C27" i="121"/>
  <c r="C26" i="121"/>
  <c r="C25" i="121"/>
  <c r="C24" i="121"/>
  <c r="C23" i="121"/>
  <c r="C22" i="121"/>
  <c r="C21" i="121"/>
  <c r="C20" i="121"/>
  <c r="I15" i="121"/>
  <c r="I14" i="121"/>
  <c r="G15" i="121"/>
  <c r="G14" i="121"/>
  <c r="E15" i="121"/>
  <c r="E14" i="121"/>
  <c r="C15" i="121"/>
  <c r="C14" i="121"/>
  <c r="I12" i="121"/>
  <c r="I11" i="121"/>
  <c r="I10" i="121"/>
  <c r="I9" i="121"/>
  <c r="I8" i="121"/>
  <c r="I7" i="121"/>
  <c r="I6" i="121"/>
  <c r="I5" i="121"/>
  <c r="I4" i="121"/>
  <c r="C12" i="121"/>
  <c r="C11" i="121"/>
  <c r="C10" i="121"/>
  <c r="C9" i="121"/>
  <c r="C8" i="121"/>
  <c r="C7" i="121"/>
  <c r="C6" i="121"/>
  <c r="C5" i="121"/>
  <c r="C4" i="121"/>
  <c r="G31" i="120"/>
  <c r="G30" i="120"/>
  <c r="E31" i="120"/>
  <c r="E30" i="120"/>
  <c r="C31" i="120"/>
  <c r="C30" i="120"/>
  <c r="I31" i="120"/>
  <c r="I30" i="120"/>
  <c r="I28" i="120"/>
  <c r="I27" i="120"/>
  <c r="I26" i="120"/>
  <c r="I25" i="120"/>
  <c r="I24" i="120"/>
  <c r="I23" i="120"/>
  <c r="I22" i="120"/>
  <c r="I21" i="120"/>
  <c r="I20" i="120"/>
  <c r="E28" i="120"/>
  <c r="E27" i="120"/>
  <c r="E26" i="120"/>
  <c r="E25" i="120"/>
  <c r="E24" i="120"/>
  <c r="E23" i="120"/>
  <c r="E22" i="120"/>
  <c r="E21" i="120"/>
  <c r="C28" i="120"/>
  <c r="C27" i="120"/>
  <c r="C26" i="120"/>
  <c r="C25" i="120"/>
  <c r="C24" i="120"/>
  <c r="C23" i="120"/>
  <c r="C22" i="120"/>
  <c r="C21" i="120"/>
  <c r="C20" i="120"/>
  <c r="I15" i="120"/>
  <c r="I14" i="120"/>
  <c r="G15" i="120"/>
  <c r="G14" i="120"/>
  <c r="E15" i="120"/>
  <c r="E14" i="120"/>
  <c r="C15" i="120"/>
  <c r="C14" i="120"/>
  <c r="I12" i="120"/>
  <c r="I11" i="120"/>
  <c r="I10" i="120"/>
  <c r="I9" i="120"/>
  <c r="I8" i="120"/>
  <c r="I7" i="120"/>
  <c r="I6" i="120"/>
  <c r="I5" i="120"/>
  <c r="I4" i="120"/>
  <c r="G12" i="120"/>
  <c r="G11" i="120"/>
  <c r="G10" i="120"/>
  <c r="G9" i="120"/>
  <c r="G8" i="120"/>
  <c r="G7" i="120"/>
  <c r="G6" i="120"/>
  <c r="G5" i="120"/>
  <c r="G4" i="120"/>
  <c r="E12" i="120"/>
  <c r="E11" i="120"/>
  <c r="E10" i="120"/>
  <c r="E9" i="120"/>
  <c r="E8" i="120"/>
  <c r="E7" i="120"/>
  <c r="E6" i="120"/>
  <c r="E5" i="120"/>
  <c r="E4" i="120"/>
  <c r="C12" i="120"/>
  <c r="C11" i="120"/>
  <c r="C10" i="120"/>
  <c r="C9" i="120"/>
  <c r="C8" i="120"/>
  <c r="C7" i="120"/>
  <c r="C6" i="120"/>
  <c r="C5" i="120"/>
  <c r="C4" i="120"/>
  <c r="I65" i="114"/>
  <c r="I64" i="114"/>
  <c r="I63" i="114"/>
  <c r="I62" i="114"/>
  <c r="I61" i="114"/>
  <c r="I60" i="114"/>
  <c r="I59" i="114"/>
  <c r="I58" i="114"/>
  <c r="I57" i="114"/>
  <c r="I56" i="114"/>
  <c r="I55" i="114"/>
  <c r="I54" i="114"/>
  <c r="I53" i="114"/>
  <c r="I52" i="114"/>
  <c r="I51" i="114"/>
  <c r="I50" i="114"/>
  <c r="I49" i="114"/>
  <c r="I48" i="114"/>
  <c r="C65" i="114"/>
  <c r="C64" i="114"/>
  <c r="C63" i="114"/>
  <c r="C62" i="114"/>
  <c r="C61" i="114"/>
  <c r="C60" i="114"/>
  <c r="C59" i="114"/>
  <c r="C58" i="114"/>
  <c r="C57" i="114"/>
  <c r="C56" i="114"/>
  <c r="C55" i="114"/>
  <c r="C54" i="114"/>
  <c r="C53" i="114"/>
  <c r="C52" i="114"/>
  <c r="C51" i="114"/>
  <c r="C50" i="114"/>
  <c r="C49" i="114"/>
  <c r="C48" i="114"/>
  <c r="I45" i="114"/>
  <c r="I44" i="114"/>
  <c r="C45" i="114"/>
  <c r="C44" i="114"/>
  <c r="I40" i="114"/>
  <c r="I39" i="114"/>
  <c r="I38" i="114"/>
  <c r="C40" i="114"/>
  <c r="C39" i="114"/>
  <c r="C38" i="114"/>
  <c r="I32" i="114"/>
  <c r="I31" i="114"/>
  <c r="I30" i="114"/>
  <c r="I29" i="114"/>
  <c r="I28" i="114"/>
  <c r="I27" i="114"/>
  <c r="I26" i="114"/>
  <c r="I25" i="114"/>
  <c r="I24" i="114"/>
  <c r="I23" i="114"/>
  <c r="I22" i="114"/>
  <c r="I21" i="114"/>
  <c r="I20" i="114"/>
  <c r="I19" i="114"/>
  <c r="I18" i="114"/>
  <c r="I17" i="114"/>
  <c r="I16" i="114"/>
  <c r="I15" i="114"/>
  <c r="C32" i="114"/>
  <c r="C31" i="114"/>
  <c r="C30" i="114"/>
  <c r="C29" i="114"/>
  <c r="C28" i="114"/>
  <c r="C27" i="114"/>
  <c r="C26" i="114"/>
  <c r="C25" i="114"/>
  <c r="C24" i="114"/>
  <c r="C23" i="114"/>
  <c r="C22" i="114"/>
  <c r="C21" i="114"/>
  <c r="C20" i="114"/>
  <c r="C19" i="114"/>
  <c r="C18" i="114"/>
  <c r="C17" i="114"/>
  <c r="C16" i="114"/>
  <c r="C15" i="114"/>
  <c r="I12" i="114"/>
  <c r="I11" i="114"/>
  <c r="C12" i="114"/>
  <c r="C11" i="114"/>
  <c r="I63" i="113"/>
  <c r="I62" i="113"/>
  <c r="I61" i="113"/>
  <c r="I60" i="113"/>
  <c r="I59" i="113"/>
  <c r="I58" i="113"/>
  <c r="I57" i="113"/>
  <c r="I56" i="113"/>
  <c r="I55" i="113"/>
  <c r="I54" i="113"/>
  <c r="I53" i="113"/>
  <c r="I52" i="113"/>
  <c r="I51" i="113"/>
  <c r="I50" i="113"/>
  <c r="I49" i="113"/>
  <c r="I48" i="113"/>
  <c r="I47" i="113"/>
  <c r="I46" i="113"/>
  <c r="G63" i="113"/>
  <c r="G62" i="113"/>
  <c r="G61" i="113"/>
  <c r="G60" i="113"/>
  <c r="G59" i="113"/>
  <c r="G58" i="113"/>
  <c r="G57" i="113"/>
  <c r="G56" i="113"/>
  <c r="G55" i="113"/>
  <c r="G54" i="113"/>
  <c r="G53" i="113"/>
  <c r="G52" i="113"/>
  <c r="G51" i="113"/>
  <c r="G50" i="113"/>
  <c r="G49" i="113"/>
  <c r="G48" i="113"/>
  <c r="G47" i="113"/>
  <c r="G46" i="113"/>
  <c r="E63" i="113"/>
  <c r="E62" i="113"/>
  <c r="E61" i="113"/>
  <c r="E60" i="113"/>
  <c r="E59" i="113"/>
  <c r="E58" i="113"/>
  <c r="E57" i="113"/>
  <c r="E56" i="113"/>
  <c r="E55" i="113"/>
  <c r="E54" i="113"/>
  <c r="E53" i="113"/>
  <c r="E52" i="113"/>
  <c r="E51" i="113"/>
  <c r="E50" i="113"/>
  <c r="E49" i="113"/>
  <c r="E48" i="113"/>
  <c r="E47" i="113"/>
  <c r="E46" i="113"/>
  <c r="C63" i="113"/>
  <c r="C62" i="113"/>
  <c r="C61" i="113"/>
  <c r="C60" i="113"/>
  <c r="C59" i="113"/>
  <c r="C58" i="113"/>
  <c r="C57" i="113"/>
  <c r="C56" i="113"/>
  <c r="C55" i="113"/>
  <c r="C54" i="113"/>
  <c r="C53" i="113"/>
  <c r="C52" i="113"/>
  <c r="C51" i="113"/>
  <c r="C50" i="113"/>
  <c r="C49" i="113"/>
  <c r="C48" i="113"/>
  <c r="C47" i="113"/>
  <c r="C46" i="113"/>
  <c r="I43" i="113"/>
  <c r="I42" i="113"/>
  <c r="G43" i="113"/>
  <c r="G42" i="113"/>
  <c r="C43" i="113"/>
  <c r="C42" i="113"/>
  <c r="I38" i="113"/>
  <c r="I37" i="113"/>
  <c r="I36" i="113"/>
  <c r="G38" i="113"/>
  <c r="G37" i="113"/>
  <c r="G36" i="113"/>
  <c r="E38" i="113"/>
  <c r="E37" i="113"/>
  <c r="E36" i="113"/>
  <c r="C38" i="113"/>
  <c r="C37" i="113"/>
  <c r="C36" i="113"/>
  <c r="I31" i="113"/>
  <c r="I30" i="113"/>
  <c r="I29" i="113"/>
  <c r="I28" i="113"/>
  <c r="I27" i="113"/>
  <c r="I26" i="113"/>
  <c r="I25" i="113"/>
  <c r="I24" i="113"/>
  <c r="I23" i="113"/>
  <c r="I22" i="113"/>
  <c r="I21" i="113"/>
  <c r="I20" i="113"/>
  <c r="I19" i="113"/>
  <c r="I18" i="113"/>
  <c r="I17" i="113"/>
  <c r="I16" i="113"/>
  <c r="I15" i="113"/>
  <c r="I14" i="113"/>
  <c r="G31" i="113"/>
  <c r="G30" i="113"/>
  <c r="G29" i="113"/>
  <c r="G28" i="113"/>
  <c r="G27" i="113"/>
  <c r="G26" i="113"/>
  <c r="G25" i="113"/>
  <c r="G24" i="113"/>
  <c r="G23" i="113"/>
  <c r="G22" i="113"/>
  <c r="G21" i="113"/>
  <c r="G20" i="113"/>
  <c r="G19" i="113"/>
  <c r="G18" i="113"/>
  <c r="G17" i="113"/>
  <c r="G16" i="113"/>
  <c r="G15" i="113"/>
  <c r="G14" i="113"/>
  <c r="E31" i="113"/>
  <c r="E30" i="113"/>
  <c r="E29" i="113"/>
  <c r="E28" i="113"/>
  <c r="E27" i="113"/>
  <c r="E26" i="113"/>
  <c r="E25" i="113"/>
  <c r="E24" i="113"/>
  <c r="E23" i="113"/>
  <c r="E22" i="113"/>
  <c r="E21" i="113"/>
  <c r="E20" i="113"/>
  <c r="E19" i="113"/>
  <c r="E18" i="113"/>
  <c r="E17" i="113"/>
  <c r="E16" i="113"/>
  <c r="E15" i="113"/>
  <c r="E14" i="113"/>
  <c r="C31" i="113"/>
  <c r="C30" i="113"/>
  <c r="C29" i="113"/>
  <c r="C28" i="113"/>
  <c r="C27" i="113"/>
  <c r="C26" i="113"/>
  <c r="C25" i="113"/>
  <c r="C24" i="113"/>
  <c r="C23" i="113"/>
  <c r="C22" i="113"/>
  <c r="C21" i="113"/>
  <c r="C20" i="113"/>
  <c r="C19" i="113"/>
  <c r="C18" i="113"/>
  <c r="C17" i="113"/>
  <c r="C16" i="113"/>
  <c r="C15" i="113"/>
  <c r="C14" i="113"/>
  <c r="I11" i="113"/>
  <c r="I10" i="113"/>
  <c r="G11" i="113"/>
  <c r="G10" i="113"/>
  <c r="C11" i="113"/>
  <c r="C10" i="113"/>
  <c r="I6" i="113"/>
  <c r="I5" i="113"/>
  <c r="I4" i="113"/>
  <c r="G6" i="113"/>
  <c r="G5" i="113"/>
  <c r="G4" i="113"/>
  <c r="E6" i="113"/>
  <c r="E5" i="113"/>
  <c r="E4" i="113"/>
  <c r="C6" i="113"/>
  <c r="C5" i="113"/>
  <c r="C4" i="113"/>
  <c r="G28" i="121"/>
  <c r="G27" i="121"/>
  <c r="G26" i="121"/>
  <c r="G25" i="121"/>
  <c r="G24" i="121"/>
  <c r="G23" i="121"/>
  <c r="G22" i="121"/>
  <c r="G21" i="121"/>
  <c r="E11" i="114"/>
  <c r="K20" i="123" l="1"/>
  <c r="I14" i="122"/>
  <c r="J14" i="122" s="1"/>
  <c r="I29" i="121"/>
  <c r="J20" i="121" s="1"/>
  <c r="E48" i="114"/>
  <c r="G48" i="114"/>
  <c r="E49" i="114"/>
  <c r="G49" i="114"/>
  <c r="E50" i="114"/>
  <c r="G50" i="114"/>
  <c r="E51" i="114"/>
  <c r="G51" i="114"/>
  <c r="E52" i="114"/>
  <c r="G52" i="114"/>
  <c r="E53" i="114"/>
  <c r="G53" i="114"/>
  <c r="E54" i="114"/>
  <c r="G54" i="114"/>
  <c r="E55" i="114"/>
  <c r="G55" i="114"/>
  <c r="E56" i="114"/>
  <c r="G56" i="114"/>
  <c r="E57" i="114"/>
  <c r="G57" i="114"/>
  <c r="E58" i="114"/>
  <c r="G58" i="114"/>
  <c r="E59" i="114"/>
  <c r="G59" i="114"/>
  <c r="E60" i="114"/>
  <c r="G60" i="114"/>
  <c r="E61" i="114"/>
  <c r="G61" i="114"/>
  <c r="E62" i="114"/>
  <c r="G62" i="114"/>
  <c r="E63" i="114"/>
  <c r="G63" i="114"/>
  <c r="E64" i="114"/>
  <c r="G64" i="114"/>
  <c r="E65" i="114"/>
  <c r="G65" i="114"/>
  <c r="E44" i="114"/>
  <c r="G44" i="114"/>
  <c r="E45" i="114"/>
  <c r="G45" i="114"/>
  <c r="E38" i="114"/>
  <c r="G38" i="114"/>
  <c r="E39" i="114"/>
  <c r="G39" i="114"/>
  <c r="E40" i="114"/>
  <c r="G40" i="114"/>
  <c r="E15" i="114"/>
  <c r="F15" i="114" s="1"/>
  <c r="G15" i="114"/>
  <c r="E16" i="114"/>
  <c r="G16" i="114"/>
  <c r="E17" i="114"/>
  <c r="G17" i="114"/>
  <c r="E18" i="114"/>
  <c r="G18" i="114"/>
  <c r="E19" i="114"/>
  <c r="G19" i="114"/>
  <c r="E20" i="114"/>
  <c r="G20" i="114"/>
  <c r="E21" i="114"/>
  <c r="G21" i="114"/>
  <c r="E22" i="114"/>
  <c r="G22" i="114"/>
  <c r="E23" i="114"/>
  <c r="G23" i="114"/>
  <c r="E24" i="114"/>
  <c r="G24" i="114"/>
  <c r="E25" i="114"/>
  <c r="G25" i="114"/>
  <c r="E26" i="114"/>
  <c r="G26" i="114"/>
  <c r="E27" i="114"/>
  <c r="G27" i="114"/>
  <c r="E28" i="114"/>
  <c r="G28" i="114"/>
  <c r="E29" i="114"/>
  <c r="G29" i="114"/>
  <c r="E30" i="114"/>
  <c r="G30" i="114"/>
  <c r="E31" i="114"/>
  <c r="G31" i="114"/>
  <c r="E32" i="114"/>
  <c r="G32" i="114"/>
  <c r="G11" i="114"/>
  <c r="E12" i="114"/>
  <c r="G12" i="114"/>
  <c r="J47" i="113"/>
  <c r="J43" i="113"/>
  <c r="J15" i="113"/>
  <c r="O49" i="156" s="1"/>
  <c r="J11" i="113"/>
  <c r="C7" i="113"/>
  <c r="I39" i="113"/>
  <c r="J36" i="113" s="1"/>
  <c r="F50" i="114" l="1"/>
  <c r="J16" i="122"/>
  <c r="J31" i="121"/>
  <c r="K4" i="123"/>
  <c r="K5" i="122"/>
  <c r="K13" i="122"/>
  <c r="K26" i="121"/>
  <c r="K20" i="121"/>
  <c r="K10" i="121"/>
  <c r="K20" i="120"/>
  <c r="K6" i="120"/>
  <c r="F44" i="114"/>
  <c r="F11" i="114"/>
  <c r="J50" i="113"/>
  <c r="J48" i="113"/>
  <c r="H55" i="113"/>
  <c r="H53" i="113"/>
  <c r="H21" i="113"/>
  <c r="N55" i="156" s="1"/>
  <c r="E13" i="123"/>
  <c r="F4" i="123" s="1"/>
  <c r="E31" i="122"/>
  <c r="F31" i="122" s="1"/>
  <c r="K22" i="122"/>
  <c r="J31" i="122"/>
  <c r="K26" i="122"/>
  <c r="K24" i="122"/>
  <c r="K11" i="122"/>
  <c r="K7" i="122"/>
  <c r="E14" i="122"/>
  <c r="F14" i="122" s="1"/>
  <c r="K9" i="122"/>
  <c r="K22" i="121"/>
  <c r="K21" i="121"/>
  <c r="K24" i="121"/>
  <c r="I13" i="121"/>
  <c r="J4" i="121" s="1"/>
  <c r="K4" i="121"/>
  <c r="K8" i="121"/>
  <c r="K6" i="121"/>
  <c r="K24" i="120"/>
  <c r="K22" i="120"/>
  <c r="K4" i="120"/>
  <c r="F22" i="114"/>
  <c r="F63" i="114"/>
  <c r="F59" i="114"/>
  <c r="F53" i="114"/>
  <c r="I41" i="114"/>
  <c r="J39" i="114" s="1"/>
  <c r="F18" i="114"/>
  <c r="F30" i="114"/>
  <c r="F26" i="114"/>
  <c r="J61" i="114"/>
  <c r="J57" i="114"/>
  <c r="J49" i="114"/>
  <c r="J64" i="114"/>
  <c r="F62" i="114"/>
  <c r="J60" i="114"/>
  <c r="F58" i="114"/>
  <c r="J56" i="114"/>
  <c r="J55" i="114"/>
  <c r="F51" i="114"/>
  <c r="J48" i="114"/>
  <c r="J65" i="114"/>
  <c r="J50" i="114"/>
  <c r="F65" i="114"/>
  <c r="J63" i="114"/>
  <c r="F61" i="114"/>
  <c r="J59" i="114"/>
  <c r="F57" i="114"/>
  <c r="J54" i="114"/>
  <c r="J53" i="114"/>
  <c r="F49" i="114"/>
  <c r="F64" i="114"/>
  <c r="J62" i="114"/>
  <c r="F60" i="114"/>
  <c r="J58" i="114"/>
  <c r="F55" i="114"/>
  <c r="J52" i="114"/>
  <c r="J51" i="114"/>
  <c r="F48" i="114"/>
  <c r="F45" i="114"/>
  <c r="J45" i="114"/>
  <c r="J44" i="114"/>
  <c r="J24" i="114"/>
  <c r="J20" i="114"/>
  <c r="J31" i="114"/>
  <c r="F29" i="114"/>
  <c r="J27" i="114"/>
  <c r="F25" i="114"/>
  <c r="J23" i="114"/>
  <c r="F21" i="114"/>
  <c r="J19" i="114"/>
  <c r="F17" i="114"/>
  <c r="J15" i="114"/>
  <c r="J28" i="114"/>
  <c r="J16" i="114"/>
  <c r="F32" i="114"/>
  <c r="J30" i="114"/>
  <c r="F28" i="114"/>
  <c r="J26" i="114"/>
  <c r="F24" i="114"/>
  <c r="J22" i="114"/>
  <c r="F20" i="114"/>
  <c r="J18" i="114"/>
  <c r="F16" i="114"/>
  <c r="J32" i="114"/>
  <c r="F31" i="114"/>
  <c r="J29" i="114"/>
  <c r="F27" i="114"/>
  <c r="J25" i="114"/>
  <c r="F23" i="114"/>
  <c r="J21" i="114"/>
  <c r="F19" i="114"/>
  <c r="J17" i="114"/>
  <c r="F12" i="114"/>
  <c r="J12" i="114"/>
  <c r="J11" i="114"/>
  <c r="J62" i="113"/>
  <c r="J60" i="113"/>
  <c r="H51" i="113"/>
  <c r="H49" i="113"/>
  <c r="J46" i="113"/>
  <c r="H63" i="113"/>
  <c r="H61" i="113"/>
  <c r="J58" i="113"/>
  <c r="J56" i="113"/>
  <c r="H47" i="113"/>
  <c r="H59" i="113"/>
  <c r="H57" i="113"/>
  <c r="J54" i="113"/>
  <c r="J52" i="113"/>
  <c r="F46" i="113"/>
  <c r="F63" i="113"/>
  <c r="D62" i="113"/>
  <c r="F61" i="113"/>
  <c r="D60" i="113"/>
  <c r="F59" i="113"/>
  <c r="D58" i="113"/>
  <c r="F57" i="113"/>
  <c r="D56" i="113"/>
  <c r="F55" i="113"/>
  <c r="D54" i="113"/>
  <c r="F53" i="113"/>
  <c r="D52" i="113"/>
  <c r="F51" i="113"/>
  <c r="D50" i="113"/>
  <c r="F49" i="113"/>
  <c r="D48" i="113"/>
  <c r="F47" i="113"/>
  <c r="D46" i="113"/>
  <c r="J63" i="113"/>
  <c r="H62" i="113"/>
  <c r="J61" i="113"/>
  <c r="H60" i="113"/>
  <c r="J59" i="113"/>
  <c r="H58" i="113"/>
  <c r="J57" i="113"/>
  <c r="H56" i="113"/>
  <c r="J55" i="113"/>
  <c r="H54" i="113"/>
  <c r="J53" i="113"/>
  <c r="H52" i="113"/>
  <c r="J51" i="113"/>
  <c r="H50" i="113"/>
  <c r="J49" i="113"/>
  <c r="H48" i="113"/>
  <c r="H46" i="113"/>
  <c r="F42" i="113"/>
  <c r="D63" i="113"/>
  <c r="F62" i="113"/>
  <c r="D61" i="113"/>
  <c r="F60" i="113"/>
  <c r="D59" i="113"/>
  <c r="F58" i="113"/>
  <c r="D57" i="113"/>
  <c r="F56" i="113"/>
  <c r="D55" i="113"/>
  <c r="F54" i="113"/>
  <c r="D53" i="113"/>
  <c r="F52" i="113"/>
  <c r="D51" i="113"/>
  <c r="F50" i="113"/>
  <c r="D49" i="113"/>
  <c r="F48" i="113"/>
  <c r="D47" i="113"/>
  <c r="H43" i="113"/>
  <c r="J42" i="113"/>
  <c r="F43" i="113"/>
  <c r="D42" i="113"/>
  <c r="J38" i="113"/>
  <c r="J37" i="113"/>
  <c r="H42" i="113"/>
  <c r="D43" i="113"/>
  <c r="J28" i="113"/>
  <c r="O62" i="156" s="1"/>
  <c r="J16" i="113"/>
  <c r="O50" i="156" s="1"/>
  <c r="H31" i="113"/>
  <c r="N65" i="156" s="1"/>
  <c r="H29" i="113"/>
  <c r="N63" i="156" s="1"/>
  <c r="J26" i="113"/>
  <c r="O60" i="156" s="1"/>
  <c r="J24" i="113"/>
  <c r="O58" i="156" s="1"/>
  <c r="H19" i="113"/>
  <c r="N53" i="156" s="1"/>
  <c r="H17" i="113"/>
  <c r="N51" i="156" s="1"/>
  <c r="J14" i="113"/>
  <c r="O48" i="156" s="1"/>
  <c r="H27" i="113"/>
  <c r="N61" i="156" s="1"/>
  <c r="H25" i="113"/>
  <c r="N59" i="156" s="1"/>
  <c r="J22" i="113"/>
  <c r="O56" i="156" s="1"/>
  <c r="H15" i="113"/>
  <c r="N49" i="156" s="1"/>
  <c r="J30" i="113"/>
  <c r="O64" i="156" s="1"/>
  <c r="J18" i="113"/>
  <c r="O52" i="156" s="1"/>
  <c r="H23" i="113"/>
  <c r="N57" i="156" s="1"/>
  <c r="J20" i="113"/>
  <c r="O54" i="156" s="1"/>
  <c r="F14" i="113"/>
  <c r="M48" i="156" s="1"/>
  <c r="F31" i="113"/>
  <c r="M65" i="156" s="1"/>
  <c r="D30" i="113"/>
  <c r="L64" i="156" s="1"/>
  <c r="F29" i="113"/>
  <c r="M63" i="156" s="1"/>
  <c r="D28" i="113"/>
  <c r="L62" i="156" s="1"/>
  <c r="F27" i="113"/>
  <c r="M61" i="156" s="1"/>
  <c r="D26" i="113"/>
  <c r="L60" i="156" s="1"/>
  <c r="F25" i="113"/>
  <c r="M59" i="156" s="1"/>
  <c r="D24" i="113"/>
  <c r="L58" i="156" s="1"/>
  <c r="F23" i="113"/>
  <c r="M57" i="156" s="1"/>
  <c r="D22" i="113"/>
  <c r="L56" i="156" s="1"/>
  <c r="F21" i="113"/>
  <c r="M55" i="156" s="1"/>
  <c r="D20" i="113"/>
  <c r="L54" i="156" s="1"/>
  <c r="F19" i="113"/>
  <c r="M53" i="156" s="1"/>
  <c r="D18" i="113"/>
  <c r="L52" i="156" s="1"/>
  <c r="F17" i="113"/>
  <c r="M51" i="156" s="1"/>
  <c r="D16" i="113"/>
  <c r="L50" i="156" s="1"/>
  <c r="F15" i="113"/>
  <c r="M49" i="156" s="1"/>
  <c r="D14" i="113"/>
  <c r="L48" i="156" s="1"/>
  <c r="J31" i="113"/>
  <c r="O65" i="156" s="1"/>
  <c r="H30" i="113"/>
  <c r="N64" i="156" s="1"/>
  <c r="J29" i="113"/>
  <c r="O63" i="156" s="1"/>
  <c r="H28" i="113"/>
  <c r="N62" i="156" s="1"/>
  <c r="J27" i="113"/>
  <c r="O61" i="156" s="1"/>
  <c r="H26" i="113"/>
  <c r="N60" i="156" s="1"/>
  <c r="J25" i="113"/>
  <c r="O59" i="156" s="1"/>
  <c r="H24" i="113"/>
  <c r="N58" i="156" s="1"/>
  <c r="J23" i="113"/>
  <c r="O57" i="156" s="1"/>
  <c r="H22" i="113"/>
  <c r="N56" i="156" s="1"/>
  <c r="J21" i="113"/>
  <c r="O55" i="156" s="1"/>
  <c r="H20" i="113"/>
  <c r="N54" i="156" s="1"/>
  <c r="J19" i="113"/>
  <c r="O53" i="156" s="1"/>
  <c r="H18" i="113"/>
  <c r="N52" i="156" s="1"/>
  <c r="J17" i="113"/>
  <c r="O51" i="156" s="1"/>
  <c r="H16" i="113"/>
  <c r="N50" i="156" s="1"/>
  <c r="H14" i="113"/>
  <c r="N48" i="156" s="1"/>
  <c r="D31" i="113"/>
  <c r="L65" i="156" s="1"/>
  <c r="F30" i="113"/>
  <c r="M64" i="156" s="1"/>
  <c r="D29" i="113"/>
  <c r="L63" i="156" s="1"/>
  <c r="F28" i="113"/>
  <c r="M62" i="156" s="1"/>
  <c r="D27" i="113"/>
  <c r="L61" i="156" s="1"/>
  <c r="F26" i="113"/>
  <c r="M60" i="156" s="1"/>
  <c r="D25" i="113"/>
  <c r="L59" i="156" s="1"/>
  <c r="F24" i="113"/>
  <c r="M58" i="156" s="1"/>
  <c r="D23" i="113"/>
  <c r="L57" i="156" s="1"/>
  <c r="F22" i="113"/>
  <c r="M56" i="156" s="1"/>
  <c r="D21" i="113"/>
  <c r="L55" i="156" s="1"/>
  <c r="F20" i="113"/>
  <c r="M54" i="156" s="1"/>
  <c r="D19" i="113"/>
  <c r="L53" i="156" s="1"/>
  <c r="F18" i="113"/>
  <c r="M52" i="156" s="1"/>
  <c r="D17" i="113"/>
  <c r="L51" i="156" s="1"/>
  <c r="F16" i="113"/>
  <c r="M50" i="156" s="1"/>
  <c r="D15" i="113"/>
  <c r="L49" i="156" s="1"/>
  <c r="J10" i="113"/>
  <c r="H11" i="113"/>
  <c r="E7" i="113"/>
  <c r="F5" i="113" s="1"/>
  <c r="D6" i="113"/>
  <c r="D5" i="113"/>
  <c r="D4" i="113"/>
  <c r="F11" i="113"/>
  <c r="D10" i="113"/>
  <c r="H10" i="113"/>
  <c r="D11" i="113"/>
  <c r="F10" i="113"/>
  <c r="D11" i="114"/>
  <c r="D27" i="114"/>
  <c r="D21" i="114"/>
  <c r="D19" i="114"/>
  <c r="D44" i="114"/>
  <c r="D64" i="114"/>
  <c r="D54" i="114"/>
  <c r="D52" i="114"/>
  <c r="D50" i="114"/>
  <c r="D48" i="114"/>
  <c r="H11" i="114"/>
  <c r="H31" i="114"/>
  <c r="H29" i="114"/>
  <c r="H27" i="114"/>
  <c r="H25" i="114"/>
  <c r="H23" i="114"/>
  <c r="H21" i="114"/>
  <c r="H19" i="114"/>
  <c r="H17" i="114"/>
  <c r="H15" i="114"/>
  <c r="H44" i="114"/>
  <c r="H64" i="114"/>
  <c r="H62" i="114"/>
  <c r="H60" i="114"/>
  <c r="H58" i="114"/>
  <c r="H56" i="114"/>
  <c r="H54" i="114"/>
  <c r="H52" i="114"/>
  <c r="H50" i="114"/>
  <c r="H48" i="114"/>
  <c r="D25" i="114"/>
  <c r="D15" i="114"/>
  <c r="D62" i="114"/>
  <c r="D60" i="114"/>
  <c r="D56" i="114"/>
  <c r="C41" i="114"/>
  <c r="D39" i="114" s="1"/>
  <c r="D30" i="114"/>
  <c r="D28" i="114"/>
  <c r="D24" i="114"/>
  <c r="D20" i="114"/>
  <c r="D18" i="114"/>
  <c r="D16" i="114"/>
  <c r="D45" i="114"/>
  <c r="D65" i="114"/>
  <c r="D63" i="114"/>
  <c r="D61" i="114"/>
  <c r="D59" i="114"/>
  <c r="D57" i="114"/>
  <c r="F56" i="114"/>
  <c r="D55" i="114"/>
  <c r="F54" i="114"/>
  <c r="D53" i="114"/>
  <c r="F52" i="114"/>
  <c r="D51" i="114"/>
  <c r="D49" i="114"/>
  <c r="D31" i="114"/>
  <c r="D29" i="114"/>
  <c r="D23" i="114"/>
  <c r="D17" i="114"/>
  <c r="D58" i="114"/>
  <c r="D12" i="114"/>
  <c r="D32" i="114"/>
  <c r="D26" i="114"/>
  <c r="D22" i="114"/>
  <c r="H12" i="114"/>
  <c r="H32" i="114"/>
  <c r="H30" i="114"/>
  <c r="H28" i="114"/>
  <c r="H26" i="114"/>
  <c r="H24" i="114"/>
  <c r="H22" i="114"/>
  <c r="H20" i="114"/>
  <c r="H18" i="114"/>
  <c r="H16" i="114"/>
  <c r="H45" i="114"/>
  <c r="H65" i="114"/>
  <c r="H63" i="114"/>
  <c r="H61" i="114"/>
  <c r="H59" i="114"/>
  <c r="H57" i="114"/>
  <c r="H55" i="114"/>
  <c r="H53" i="114"/>
  <c r="H51" i="114"/>
  <c r="H49" i="114"/>
  <c r="K14" i="120"/>
  <c r="K30" i="120"/>
  <c r="K30" i="121"/>
  <c r="E29" i="121"/>
  <c r="F20" i="121" s="1"/>
  <c r="J21" i="121"/>
  <c r="J23" i="121"/>
  <c r="K5" i="121"/>
  <c r="J27" i="121"/>
  <c r="E13" i="121"/>
  <c r="F4" i="121" s="1"/>
  <c r="K12" i="121"/>
  <c r="K28" i="121"/>
  <c r="J25" i="121"/>
  <c r="F25" i="122"/>
  <c r="J8" i="122"/>
  <c r="F23" i="122"/>
  <c r="J10" i="122"/>
  <c r="J6" i="122"/>
  <c r="J25" i="122"/>
  <c r="K23" i="122"/>
  <c r="J12" i="122"/>
  <c r="J23" i="122"/>
  <c r="K30" i="123"/>
  <c r="K6" i="123"/>
  <c r="K24" i="123"/>
  <c r="K22" i="123"/>
  <c r="K8" i="123"/>
  <c r="K26" i="123"/>
  <c r="K14" i="123"/>
  <c r="I13" i="123"/>
  <c r="J10" i="123" s="1"/>
  <c r="I29" i="123"/>
  <c r="J26" i="123" s="1"/>
  <c r="E29" i="123"/>
  <c r="F20" i="123" s="1"/>
  <c r="K28" i="123"/>
  <c r="K31" i="123"/>
  <c r="K27" i="123"/>
  <c r="K23" i="123"/>
  <c r="G29" i="123"/>
  <c r="H30" i="123" s="1"/>
  <c r="C29" i="123"/>
  <c r="D26" i="123" s="1"/>
  <c r="K25" i="123"/>
  <c r="K21" i="123"/>
  <c r="K10" i="123"/>
  <c r="G13" i="123"/>
  <c r="H4" i="123" s="1"/>
  <c r="C13" i="123"/>
  <c r="D4" i="123" s="1"/>
  <c r="K9" i="123"/>
  <c r="K5" i="123"/>
  <c r="K12" i="123"/>
  <c r="K15" i="123"/>
  <c r="K11" i="123"/>
  <c r="K7" i="123"/>
  <c r="K30" i="122"/>
  <c r="J22" i="122"/>
  <c r="C31" i="122"/>
  <c r="K27" i="122"/>
  <c r="K32" i="122"/>
  <c r="K28" i="122"/>
  <c r="K33" i="122"/>
  <c r="G31" i="122"/>
  <c r="H30" i="122" s="1"/>
  <c r="K29" i="122"/>
  <c r="K25" i="122"/>
  <c r="K15" i="122"/>
  <c r="J15" i="122"/>
  <c r="J13" i="122"/>
  <c r="J11" i="122"/>
  <c r="C14" i="122"/>
  <c r="D11" i="122" s="1"/>
  <c r="K12" i="122"/>
  <c r="K8" i="122"/>
  <c r="K6" i="122"/>
  <c r="J9" i="122"/>
  <c r="J7" i="122"/>
  <c r="J5" i="122"/>
  <c r="K16" i="122"/>
  <c r="G14" i="122"/>
  <c r="H7" i="122" s="1"/>
  <c r="K10" i="122"/>
  <c r="G29" i="121"/>
  <c r="H24" i="121" s="1"/>
  <c r="C29" i="121"/>
  <c r="D22" i="121" s="1"/>
  <c r="K25" i="121"/>
  <c r="J30" i="121"/>
  <c r="J28" i="121"/>
  <c r="J26" i="121"/>
  <c r="J24" i="121"/>
  <c r="J22" i="121"/>
  <c r="K31" i="121"/>
  <c r="K27" i="121"/>
  <c r="K23" i="121"/>
  <c r="G13" i="121"/>
  <c r="H6" i="121" s="1"/>
  <c r="C13" i="121"/>
  <c r="D14" i="121" s="1"/>
  <c r="K9" i="121"/>
  <c r="K7" i="121"/>
  <c r="K14" i="121"/>
  <c r="K15" i="121"/>
  <c r="K11" i="121"/>
  <c r="K31" i="120"/>
  <c r="K28" i="120"/>
  <c r="K25" i="120"/>
  <c r="K21" i="120"/>
  <c r="K26" i="120"/>
  <c r="K27" i="120"/>
  <c r="K23" i="120"/>
  <c r="K15" i="120"/>
  <c r="K8" i="120"/>
  <c r="K9" i="120"/>
  <c r="K5" i="120"/>
  <c r="K12" i="120"/>
  <c r="K10" i="120"/>
  <c r="K11" i="120"/>
  <c r="K7" i="120"/>
  <c r="E41" i="114"/>
  <c r="F39" i="114" s="1"/>
  <c r="G41" i="114"/>
  <c r="H40" i="114" s="1"/>
  <c r="C39" i="113"/>
  <c r="D38" i="113" s="1"/>
  <c r="I7" i="113"/>
  <c r="J6" i="113" s="1"/>
  <c r="G39" i="113"/>
  <c r="H38" i="113" s="1"/>
  <c r="G7" i="113"/>
  <c r="H6" i="113" s="1"/>
  <c r="E39" i="113"/>
  <c r="F36" i="113" s="1"/>
  <c r="I38" i="85"/>
  <c r="I37" i="85"/>
  <c r="I36" i="85"/>
  <c r="I35" i="85"/>
  <c r="I34" i="85"/>
  <c r="I33" i="85"/>
  <c r="I32" i="85"/>
  <c r="I31" i="85"/>
  <c r="I30" i="85"/>
  <c r="I29" i="85"/>
  <c r="I28" i="85"/>
  <c r="I27" i="85"/>
  <c r="I26" i="85"/>
  <c r="I25" i="85"/>
  <c r="I24" i="85"/>
  <c r="I23" i="85"/>
  <c r="I22" i="85"/>
  <c r="I21" i="85"/>
  <c r="C38" i="85"/>
  <c r="C37" i="85"/>
  <c r="C36" i="85"/>
  <c r="C35" i="85"/>
  <c r="C34" i="85"/>
  <c r="C33" i="85"/>
  <c r="C32" i="85"/>
  <c r="C31" i="85"/>
  <c r="C30" i="85"/>
  <c r="C29" i="85"/>
  <c r="C28" i="85"/>
  <c r="C27" i="85"/>
  <c r="C26" i="85"/>
  <c r="C25" i="85"/>
  <c r="C24" i="85"/>
  <c r="C23" i="85"/>
  <c r="C22" i="85"/>
  <c r="C21" i="85"/>
  <c r="B6" i="82"/>
  <c r="C40" i="104"/>
  <c r="C39" i="104"/>
  <c r="C38" i="104"/>
  <c r="C37" i="104"/>
  <c r="C36" i="104"/>
  <c r="C35" i="104"/>
  <c r="C34" i="104"/>
  <c r="C33" i="104"/>
  <c r="C32" i="104"/>
  <c r="C31" i="104"/>
  <c r="C30" i="104"/>
  <c r="C29" i="104"/>
  <c r="C28" i="104"/>
  <c r="C27" i="104"/>
  <c r="C26" i="104"/>
  <c r="C25" i="104"/>
  <c r="C24" i="104"/>
  <c r="C23" i="104"/>
  <c r="C40" i="95"/>
  <c r="C39" i="95"/>
  <c r="C38" i="95"/>
  <c r="C37" i="95"/>
  <c r="C36" i="95"/>
  <c r="C35" i="95"/>
  <c r="C34" i="95"/>
  <c r="C33" i="95"/>
  <c r="C32" i="95"/>
  <c r="C31" i="95"/>
  <c r="C30" i="95"/>
  <c r="C29" i="95"/>
  <c r="C28" i="95"/>
  <c r="C27" i="95"/>
  <c r="C26" i="95"/>
  <c r="C25" i="95"/>
  <c r="C24" i="95"/>
  <c r="C23" i="95"/>
  <c r="J32" i="122" l="1"/>
  <c r="J27" i="122"/>
  <c r="F15" i="123"/>
  <c r="J33" i="122"/>
  <c r="J29" i="122"/>
  <c r="J24" i="122"/>
  <c r="J26" i="122"/>
  <c r="J28" i="122"/>
  <c r="J30" i="122"/>
  <c r="F8" i="123"/>
  <c r="F10" i="123"/>
  <c r="F9" i="123"/>
  <c r="J14" i="123"/>
  <c r="F14" i="121"/>
  <c r="J11" i="121"/>
  <c r="F6" i="121"/>
  <c r="F10" i="121"/>
  <c r="F15" i="122"/>
  <c r="F6" i="122"/>
  <c r="F10" i="122"/>
  <c r="F9" i="122"/>
  <c r="F16" i="122"/>
  <c r="F6" i="113"/>
  <c r="F24" i="123"/>
  <c r="J8" i="123"/>
  <c r="D12" i="121"/>
  <c r="H28" i="121"/>
  <c r="F22" i="123"/>
  <c r="F12" i="123"/>
  <c r="F11" i="123"/>
  <c r="F14" i="123"/>
  <c r="F7" i="123"/>
  <c r="F6" i="123"/>
  <c r="F5" i="123"/>
  <c r="F26" i="122"/>
  <c r="F29" i="122"/>
  <c r="F32" i="122"/>
  <c r="F27" i="122"/>
  <c r="F24" i="122"/>
  <c r="F30" i="122"/>
  <c r="F28" i="122"/>
  <c r="F13" i="122"/>
  <c r="F12" i="122"/>
  <c r="H20" i="121"/>
  <c r="H30" i="121"/>
  <c r="K29" i="121"/>
  <c r="L24" i="121" s="1"/>
  <c r="J10" i="121"/>
  <c r="J7" i="121"/>
  <c r="J5" i="121"/>
  <c r="J6" i="121"/>
  <c r="J14" i="121"/>
  <c r="J40" i="114"/>
  <c r="J30" i="123"/>
  <c r="J20" i="123"/>
  <c r="J22" i="123"/>
  <c r="J21" i="123"/>
  <c r="J24" i="123"/>
  <c r="F30" i="123"/>
  <c r="F27" i="123"/>
  <c r="F22" i="122"/>
  <c r="F33" i="122"/>
  <c r="F5" i="122"/>
  <c r="F8" i="122"/>
  <c r="F11" i="122"/>
  <c r="F7" i="122"/>
  <c r="D20" i="121"/>
  <c r="F22" i="121"/>
  <c r="F26" i="121"/>
  <c r="F30" i="121"/>
  <c r="H22" i="121"/>
  <c r="F23" i="121"/>
  <c r="F25" i="121"/>
  <c r="J29" i="121"/>
  <c r="F24" i="121"/>
  <c r="F28" i="121"/>
  <c r="F21" i="121"/>
  <c r="F31" i="121"/>
  <c r="F8" i="121"/>
  <c r="F12" i="121"/>
  <c r="F11" i="121"/>
  <c r="F15" i="121"/>
  <c r="J8" i="121"/>
  <c r="J12" i="121"/>
  <c r="H10" i="121"/>
  <c r="J15" i="121"/>
  <c r="J9" i="121"/>
  <c r="J38" i="114"/>
  <c r="D36" i="113"/>
  <c r="F38" i="113"/>
  <c r="F4" i="113"/>
  <c r="H5" i="113"/>
  <c r="D40" i="114"/>
  <c r="D38" i="114"/>
  <c r="F40" i="114"/>
  <c r="H14" i="121"/>
  <c r="H4" i="121"/>
  <c r="F5" i="121"/>
  <c r="D4" i="121"/>
  <c r="F7" i="121"/>
  <c r="H8" i="121"/>
  <c r="F9" i="121"/>
  <c r="F27" i="121"/>
  <c r="D15" i="122"/>
  <c r="D7" i="122"/>
  <c r="J28" i="123"/>
  <c r="F25" i="123"/>
  <c r="F21" i="123"/>
  <c r="H12" i="123"/>
  <c r="J5" i="123"/>
  <c r="J15" i="123"/>
  <c r="J11" i="123"/>
  <c r="D6" i="123"/>
  <c r="J9" i="123"/>
  <c r="D14" i="123"/>
  <c r="J4" i="123"/>
  <c r="J12" i="123"/>
  <c r="H6" i="123"/>
  <c r="J7" i="123"/>
  <c r="J6" i="123"/>
  <c r="H14" i="123"/>
  <c r="J25" i="123"/>
  <c r="J31" i="123"/>
  <c r="F23" i="123"/>
  <c r="F28" i="123"/>
  <c r="F26" i="123"/>
  <c r="D22" i="123"/>
  <c r="J23" i="123"/>
  <c r="J27" i="123"/>
  <c r="F31" i="123"/>
  <c r="H21" i="123"/>
  <c r="H27" i="123"/>
  <c r="H31" i="123"/>
  <c r="H23" i="123"/>
  <c r="H25" i="123"/>
  <c r="K29" i="123"/>
  <c r="L21" i="123" s="1"/>
  <c r="H24" i="123"/>
  <c r="H20" i="123"/>
  <c r="D28" i="123"/>
  <c r="D24" i="123"/>
  <c r="H26" i="123"/>
  <c r="H28" i="123"/>
  <c r="H22" i="123"/>
  <c r="D23" i="123"/>
  <c r="D25" i="123"/>
  <c r="D21" i="123"/>
  <c r="D27" i="123"/>
  <c r="D31" i="123"/>
  <c r="D20" i="123"/>
  <c r="D30" i="123"/>
  <c r="K13" i="123"/>
  <c r="L5" i="123" s="1"/>
  <c r="D5" i="123"/>
  <c r="D7" i="123"/>
  <c r="D9" i="123"/>
  <c r="D15" i="123"/>
  <c r="D11" i="123"/>
  <c r="H8" i="123"/>
  <c r="D12" i="123"/>
  <c r="H5" i="123"/>
  <c r="H7" i="123"/>
  <c r="H11" i="123"/>
  <c r="H9" i="123"/>
  <c r="H15" i="123"/>
  <c r="D10" i="123"/>
  <c r="H10" i="123"/>
  <c r="D8" i="123"/>
  <c r="D23" i="122"/>
  <c r="D25" i="122"/>
  <c r="D27" i="122"/>
  <c r="D31" i="122"/>
  <c r="D29" i="122"/>
  <c r="D33" i="122"/>
  <c r="H26" i="122"/>
  <c r="D26" i="122"/>
  <c r="H24" i="122"/>
  <c r="H23" i="122"/>
  <c r="H25" i="122"/>
  <c r="H29" i="122"/>
  <c r="H33" i="122"/>
  <c r="H27" i="122"/>
  <c r="H31" i="122"/>
  <c r="D30" i="122"/>
  <c r="H22" i="122"/>
  <c r="K31" i="122"/>
  <c r="H28" i="122"/>
  <c r="D22" i="122"/>
  <c r="D28" i="122"/>
  <c r="D24" i="122"/>
  <c r="D32" i="122"/>
  <c r="H32" i="122"/>
  <c r="H15" i="122"/>
  <c r="H9" i="122"/>
  <c r="D13" i="122"/>
  <c r="D9" i="122"/>
  <c r="H10" i="122"/>
  <c r="H12" i="122"/>
  <c r="H14" i="122"/>
  <c r="H6" i="122"/>
  <c r="H8" i="122"/>
  <c r="H16" i="122"/>
  <c r="K14" i="122"/>
  <c r="L15" i="122" s="1"/>
  <c r="H13" i="122"/>
  <c r="H5" i="122"/>
  <c r="D6" i="122"/>
  <c r="D8" i="122"/>
  <c r="D12" i="122"/>
  <c r="D14" i="122"/>
  <c r="D16" i="122"/>
  <c r="D10" i="122"/>
  <c r="D5" i="122"/>
  <c r="H11" i="122"/>
  <c r="D21" i="121"/>
  <c r="D23" i="121"/>
  <c r="D25" i="121"/>
  <c r="D27" i="121"/>
  <c r="D31" i="121"/>
  <c r="D30" i="121"/>
  <c r="D24" i="121"/>
  <c r="D26" i="121"/>
  <c r="H21" i="121"/>
  <c r="H23" i="121"/>
  <c r="H25" i="121"/>
  <c r="H27" i="121"/>
  <c r="H31" i="121"/>
  <c r="D28" i="121"/>
  <c r="H26" i="121"/>
  <c r="K13" i="121"/>
  <c r="L7" i="121" s="1"/>
  <c r="D5" i="121"/>
  <c r="D7" i="121"/>
  <c r="D9" i="121"/>
  <c r="D11" i="121"/>
  <c r="D15" i="121"/>
  <c r="D10" i="121"/>
  <c r="D6" i="121"/>
  <c r="H5" i="121"/>
  <c r="H7" i="121"/>
  <c r="H9" i="121"/>
  <c r="H11" i="121"/>
  <c r="H15" i="121"/>
  <c r="H12" i="121"/>
  <c r="D8" i="121"/>
  <c r="H38" i="114"/>
  <c r="F38" i="114"/>
  <c r="H39" i="114"/>
  <c r="D37" i="113"/>
  <c r="H36" i="113"/>
  <c r="H37" i="113"/>
  <c r="F37" i="113"/>
  <c r="F39" i="113" s="1"/>
  <c r="J5" i="113"/>
  <c r="J4" i="113"/>
  <c r="H4" i="113"/>
  <c r="J39" i="113"/>
  <c r="D7" i="113"/>
  <c r="L14" i="121" l="1"/>
  <c r="D39" i="113"/>
  <c r="L26" i="121"/>
  <c r="F7" i="113"/>
  <c r="F13" i="123"/>
  <c r="J41" i="114"/>
  <c r="L25" i="121"/>
  <c r="L22" i="121"/>
  <c r="L27" i="121"/>
  <c r="L30" i="121"/>
  <c r="L23" i="121"/>
  <c r="L28" i="121"/>
  <c r="L21" i="121"/>
  <c r="L31" i="121"/>
  <c r="L20" i="121"/>
  <c r="H7" i="113"/>
  <c r="J29" i="123"/>
  <c r="L16" i="122"/>
  <c r="L12" i="122"/>
  <c r="L10" i="122"/>
  <c r="L8" i="122"/>
  <c r="L6" i="122"/>
  <c r="D29" i="121"/>
  <c r="F29" i="121"/>
  <c r="J13" i="121"/>
  <c r="F13" i="121"/>
  <c r="D13" i="121"/>
  <c r="D41" i="114"/>
  <c r="J7" i="113"/>
  <c r="F41" i="114"/>
  <c r="H29" i="121"/>
  <c r="H13" i="121"/>
  <c r="L25" i="123"/>
  <c r="H13" i="123"/>
  <c r="L28" i="123"/>
  <c r="F29" i="123"/>
  <c r="L12" i="123"/>
  <c r="L31" i="123"/>
  <c r="L27" i="123"/>
  <c r="D13" i="123"/>
  <c r="L11" i="123"/>
  <c r="J13" i="123"/>
  <c r="L26" i="123"/>
  <c r="L24" i="123"/>
  <c r="L22" i="123"/>
  <c r="L30" i="123"/>
  <c r="L20" i="123"/>
  <c r="D29" i="123"/>
  <c r="L23" i="123"/>
  <c r="H29" i="123"/>
  <c r="L9" i="123"/>
  <c r="L14" i="123"/>
  <c r="L6" i="123"/>
  <c r="L4" i="123"/>
  <c r="L8" i="123"/>
  <c r="L10" i="123"/>
  <c r="L7" i="123"/>
  <c r="L31" i="122"/>
  <c r="L22" i="122"/>
  <c r="L26" i="122"/>
  <c r="L23" i="122"/>
  <c r="L24" i="122"/>
  <c r="L30" i="122"/>
  <c r="L27" i="122"/>
  <c r="L28" i="122"/>
  <c r="L32" i="122"/>
  <c r="L29" i="122"/>
  <c r="L33" i="122"/>
  <c r="L25" i="122"/>
  <c r="L14" i="122"/>
  <c r="L11" i="122"/>
  <c r="L9" i="122"/>
  <c r="L13" i="122"/>
  <c r="L5" i="122"/>
  <c r="L7" i="122"/>
  <c r="L6" i="121"/>
  <c r="L10" i="121"/>
  <c r="L12" i="121"/>
  <c r="L5" i="121"/>
  <c r="L8" i="121"/>
  <c r="L4" i="121"/>
  <c r="L11" i="121"/>
  <c r="L9" i="121"/>
  <c r="L15" i="121"/>
  <c r="H41" i="114"/>
  <c r="H39" i="113"/>
  <c r="O51" i="151"/>
  <c r="O50" i="151"/>
  <c r="O49" i="151"/>
  <c r="O48" i="151"/>
  <c r="O47" i="151"/>
  <c r="O46" i="151"/>
  <c r="N51" i="151"/>
  <c r="N50" i="151"/>
  <c r="N49" i="151"/>
  <c r="N48" i="151"/>
  <c r="N47" i="151"/>
  <c r="N46" i="151"/>
  <c r="P33" i="151"/>
  <c r="P32" i="151"/>
  <c r="P31" i="151"/>
  <c r="P30" i="151"/>
  <c r="P29" i="151"/>
  <c r="P28" i="151"/>
  <c r="P27" i="151"/>
  <c r="P26" i="151"/>
  <c r="O33" i="151"/>
  <c r="Q33" i="151" s="1"/>
  <c r="O32" i="151"/>
  <c r="O31" i="151"/>
  <c r="O30" i="151"/>
  <c r="Q30" i="151" s="1"/>
  <c r="O29" i="151"/>
  <c r="O28" i="151"/>
  <c r="O27" i="151"/>
  <c r="O26" i="151"/>
  <c r="Q26" i="151" s="1"/>
  <c r="N33" i="151"/>
  <c r="N32" i="151"/>
  <c r="N31" i="151"/>
  <c r="N30" i="151"/>
  <c r="N29" i="151"/>
  <c r="N28" i="151"/>
  <c r="N27" i="151"/>
  <c r="N26" i="151"/>
  <c r="P25" i="151"/>
  <c r="O25" i="151"/>
  <c r="N25" i="151"/>
  <c r="O6" i="151"/>
  <c r="P6" i="151"/>
  <c r="O7" i="151"/>
  <c r="P7" i="151"/>
  <c r="O8" i="151"/>
  <c r="P8" i="151"/>
  <c r="O9" i="151"/>
  <c r="P9" i="151"/>
  <c r="O10" i="151"/>
  <c r="P10" i="151"/>
  <c r="O11" i="151"/>
  <c r="P11" i="151"/>
  <c r="O12" i="151"/>
  <c r="P12" i="151"/>
  <c r="O13" i="151"/>
  <c r="P13" i="151"/>
  <c r="P5" i="151"/>
  <c r="O5" i="151"/>
  <c r="N6" i="151"/>
  <c r="N7" i="151"/>
  <c r="N8" i="151"/>
  <c r="N9" i="151"/>
  <c r="N10" i="151"/>
  <c r="N11" i="151"/>
  <c r="N12" i="151"/>
  <c r="N13" i="151"/>
  <c r="N5" i="151"/>
  <c r="Q29" i="151" l="1"/>
  <c r="L29" i="121"/>
  <c r="Q32" i="151"/>
  <c r="Q8" i="151"/>
  <c r="Q13" i="151"/>
  <c r="Q11" i="151"/>
  <c r="Q7" i="151"/>
  <c r="Q12" i="151"/>
  <c r="Q10" i="151"/>
  <c r="Q6" i="151"/>
  <c r="L13" i="123"/>
  <c r="L29" i="123"/>
  <c r="L13" i="121"/>
  <c r="Q31" i="151"/>
  <c r="Q27" i="151"/>
  <c r="Q28" i="151"/>
  <c r="Q9" i="151"/>
  <c r="Q25" i="151"/>
  <c r="Q5" i="151"/>
  <c r="J32" i="155"/>
  <c r="J31" i="155"/>
  <c r="J30" i="155"/>
  <c r="J29" i="155"/>
  <c r="J28" i="155"/>
  <c r="J27" i="155"/>
  <c r="J26" i="155"/>
  <c r="J25" i="155"/>
  <c r="J24" i="155"/>
  <c r="J23" i="155"/>
  <c r="J22" i="155"/>
  <c r="J21" i="155"/>
  <c r="J20" i="155"/>
  <c r="J19" i="155"/>
  <c r="J18" i="155"/>
  <c r="J17" i="155"/>
  <c r="J16" i="155"/>
  <c r="J15" i="155"/>
  <c r="J10" i="155"/>
  <c r="Q12" i="155" s="1"/>
  <c r="J9" i="155"/>
  <c r="C3" i="155" s="1"/>
  <c r="J5" i="155"/>
  <c r="Q10" i="155" s="1"/>
  <c r="J4" i="155"/>
  <c r="Q9" i="155" s="1"/>
  <c r="J3" i="155"/>
  <c r="Q11" i="155" l="1"/>
  <c r="Q13" i="155" s="1"/>
  <c r="R13" i="155" l="1"/>
  <c r="R10" i="155"/>
  <c r="R9" i="155"/>
  <c r="R12" i="155"/>
  <c r="R11" i="155"/>
  <c r="I19" i="100" l="1"/>
  <c r="Q35" i="152" s="1"/>
  <c r="I18" i="100"/>
  <c r="Q34" i="152" s="1"/>
  <c r="I17" i="100"/>
  <c r="Q33" i="152" s="1"/>
  <c r="I16" i="100"/>
  <c r="Q32" i="152" s="1"/>
  <c r="I15" i="100"/>
  <c r="Q31" i="152" s="1"/>
  <c r="I14" i="100"/>
  <c r="Q30" i="152" s="1"/>
  <c r="I13" i="100"/>
  <c r="Q29" i="152" s="1"/>
  <c r="K46" i="113" l="1"/>
  <c r="K45" i="113" l="1"/>
  <c r="D7" i="82" l="1"/>
  <c r="D8" i="82"/>
  <c r="D9" i="82"/>
  <c r="D10" i="82"/>
  <c r="D11" i="82"/>
  <c r="D12" i="82"/>
  <c r="D13" i="82"/>
  <c r="D14" i="82"/>
  <c r="D15" i="82"/>
  <c r="D16" i="82"/>
  <c r="D17" i="82"/>
  <c r="D18" i="82"/>
  <c r="D19" i="82"/>
  <c r="D20" i="82"/>
  <c r="D21" i="82"/>
  <c r="D6" i="82"/>
  <c r="B7" i="82"/>
  <c r="B8" i="82"/>
  <c r="B9" i="82"/>
  <c r="B10" i="82"/>
  <c r="B11" i="82"/>
  <c r="B12" i="82"/>
  <c r="B13" i="82"/>
  <c r="B14" i="82"/>
  <c r="B15" i="82"/>
  <c r="B16" i="82"/>
  <c r="B17" i="82"/>
  <c r="B18" i="82"/>
  <c r="B19" i="82"/>
  <c r="B20" i="82"/>
  <c r="B21" i="82"/>
  <c r="G6" i="91"/>
  <c r="G7" i="91"/>
  <c r="G8" i="91"/>
  <c r="G9" i="91"/>
  <c r="G10" i="91"/>
  <c r="G11" i="91"/>
  <c r="G12" i="91"/>
  <c r="G13" i="91"/>
  <c r="G14" i="91"/>
  <c r="G15" i="91"/>
  <c r="G16" i="91"/>
  <c r="G17" i="91"/>
  <c r="G18" i="91"/>
  <c r="G19" i="91"/>
  <c r="G20" i="91"/>
  <c r="G5" i="91"/>
  <c r="F6" i="91"/>
  <c r="F7" i="91"/>
  <c r="F8" i="91"/>
  <c r="F9" i="91"/>
  <c r="F10" i="91"/>
  <c r="F11" i="91"/>
  <c r="F12" i="91"/>
  <c r="F13" i="91"/>
  <c r="F14" i="91"/>
  <c r="F15" i="91"/>
  <c r="F16" i="91"/>
  <c r="F17" i="91"/>
  <c r="F18" i="91"/>
  <c r="F19" i="91"/>
  <c r="F20" i="91"/>
  <c r="F5" i="91"/>
  <c r="B6" i="91"/>
  <c r="B7" i="91"/>
  <c r="B8" i="91"/>
  <c r="B9" i="91"/>
  <c r="B10" i="91"/>
  <c r="B11" i="91"/>
  <c r="B12" i="91"/>
  <c r="B13" i="91"/>
  <c r="B14" i="91"/>
  <c r="B15" i="91"/>
  <c r="B16" i="91"/>
  <c r="B17" i="91"/>
  <c r="B18" i="91"/>
  <c r="B19" i="91"/>
  <c r="B20" i="91"/>
  <c r="B5" i="91"/>
  <c r="D34" i="81"/>
  <c r="D35" i="81"/>
  <c r="D36" i="81"/>
  <c r="D37" i="81"/>
  <c r="D38" i="81"/>
  <c r="D39" i="81"/>
  <c r="D40" i="81"/>
  <c r="D33" i="81"/>
  <c r="D32" i="81"/>
  <c r="D31" i="81"/>
  <c r="D30" i="81"/>
  <c r="D28" i="81"/>
  <c r="D29" i="81"/>
  <c r="D27" i="81"/>
  <c r="D14" i="81"/>
  <c r="D15" i="81"/>
  <c r="D16" i="81"/>
  <c r="D17" i="81"/>
  <c r="D18" i="81"/>
  <c r="D19" i="81"/>
  <c r="D20" i="81"/>
  <c r="D12" i="81"/>
  <c r="D13" i="81"/>
  <c r="D11" i="81"/>
  <c r="D10" i="81"/>
  <c r="D9" i="81"/>
  <c r="D8" i="81"/>
  <c r="D7" i="81"/>
  <c r="B20" i="80"/>
  <c r="B19" i="80"/>
  <c r="B18" i="80"/>
  <c r="B17" i="80"/>
  <c r="B16" i="80"/>
  <c r="B9" i="80"/>
  <c r="B8" i="80"/>
  <c r="B7" i="80"/>
  <c r="B6" i="80"/>
  <c r="B5" i="80"/>
  <c r="B6" i="79"/>
  <c r="B7" i="79"/>
  <c r="B8" i="79"/>
  <c r="B9" i="79"/>
  <c r="B10" i="79"/>
  <c r="B5" i="79"/>
  <c r="B25" i="82" l="1"/>
  <c r="N6" i="172" s="1"/>
  <c r="P49" i="152"/>
  <c r="P55" i="152"/>
  <c r="P51" i="152"/>
  <c r="P47" i="152"/>
  <c r="P50" i="152"/>
  <c r="P54" i="152"/>
  <c r="P57" i="152"/>
  <c r="P53" i="152"/>
  <c r="P48" i="152"/>
  <c r="P56" i="152"/>
  <c r="P52" i="152"/>
  <c r="O57" i="152"/>
  <c r="O53" i="152"/>
  <c r="O47" i="152"/>
  <c r="O48" i="152"/>
  <c r="O56" i="152"/>
  <c r="O52" i="152"/>
  <c r="O50" i="152"/>
  <c r="O55" i="152"/>
  <c r="O51" i="152"/>
  <c r="O49" i="152"/>
  <c r="O54" i="152"/>
  <c r="B26" i="82"/>
  <c r="N7" i="172" s="1"/>
  <c r="B22" i="82"/>
  <c r="C6" i="82" s="1"/>
  <c r="B24" i="82"/>
  <c r="N5" i="172" s="1"/>
  <c r="B23" i="82"/>
  <c r="N4" i="172" s="1"/>
  <c r="N20" i="172" s="1"/>
  <c r="D26" i="81"/>
  <c r="P46" i="152" s="1"/>
  <c r="D6" i="81"/>
  <c r="O46" i="152" s="1"/>
  <c r="I12" i="100"/>
  <c r="Q28" i="152" s="1"/>
  <c r="I11" i="100"/>
  <c r="Q27" i="152" s="1"/>
  <c r="I10" i="100"/>
  <c r="Q26" i="152" s="1"/>
  <c r="I9" i="100"/>
  <c r="Q25" i="152" s="1"/>
  <c r="I8" i="100"/>
  <c r="I7" i="100"/>
  <c r="I6" i="100"/>
  <c r="H13" i="100"/>
  <c r="P29" i="152" s="1"/>
  <c r="R29" i="152" s="1"/>
  <c r="H14" i="100"/>
  <c r="P30" i="152" s="1"/>
  <c r="R30" i="152" s="1"/>
  <c r="H15" i="100"/>
  <c r="P31" i="152" s="1"/>
  <c r="R31" i="152" s="1"/>
  <c r="H16" i="100"/>
  <c r="P32" i="152" s="1"/>
  <c r="R32" i="152" s="1"/>
  <c r="H17" i="100"/>
  <c r="P33" i="152" s="1"/>
  <c r="R33" i="152" s="1"/>
  <c r="H18" i="100"/>
  <c r="P34" i="152" s="1"/>
  <c r="R34" i="152" s="1"/>
  <c r="H19" i="100"/>
  <c r="P35" i="152" s="1"/>
  <c r="R35" i="152" s="1"/>
  <c r="H12" i="100"/>
  <c r="P28" i="152" s="1"/>
  <c r="H11" i="100"/>
  <c r="P27" i="152" s="1"/>
  <c r="H10" i="100"/>
  <c r="P26" i="152" s="1"/>
  <c r="H9" i="100"/>
  <c r="P25" i="152" s="1"/>
  <c r="H8" i="100"/>
  <c r="H7" i="100"/>
  <c r="H6" i="100"/>
  <c r="C6" i="100"/>
  <c r="C13" i="100"/>
  <c r="C14" i="100"/>
  <c r="C15" i="100"/>
  <c r="C16" i="100"/>
  <c r="C17" i="100"/>
  <c r="C18" i="100"/>
  <c r="C19" i="100"/>
  <c r="C12" i="100"/>
  <c r="C11" i="100"/>
  <c r="C10" i="100"/>
  <c r="C9" i="100"/>
  <c r="C8" i="100"/>
  <c r="C7" i="100"/>
  <c r="C20" i="99"/>
  <c r="B20" i="99"/>
  <c r="C18" i="99"/>
  <c r="C19" i="99"/>
  <c r="C17" i="99"/>
  <c r="C16" i="99"/>
  <c r="B19" i="99"/>
  <c r="B18" i="99"/>
  <c r="B17" i="99"/>
  <c r="B20" i="89"/>
  <c r="B16" i="99"/>
  <c r="B16" i="89"/>
  <c r="B5" i="99"/>
  <c r="B9" i="99"/>
  <c r="B8" i="99"/>
  <c r="B7" i="99"/>
  <c r="B6" i="99"/>
  <c r="G16" i="98"/>
  <c r="G6" i="98"/>
  <c r="G7" i="98"/>
  <c r="G8" i="98"/>
  <c r="G9" i="98"/>
  <c r="G10" i="98"/>
  <c r="G11" i="98"/>
  <c r="G12" i="98"/>
  <c r="G13" i="98"/>
  <c r="G5" i="98"/>
  <c r="F6" i="98"/>
  <c r="F7" i="98"/>
  <c r="F8" i="98"/>
  <c r="F9" i="98"/>
  <c r="F10" i="98"/>
  <c r="F11" i="98"/>
  <c r="F12" i="98"/>
  <c r="F13" i="98"/>
  <c r="F5" i="98"/>
  <c r="B6" i="98"/>
  <c r="B7" i="98"/>
  <c r="B8" i="98"/>
  <c r="B9" i="98"/>
  <c r="B10" i="98"/>
  <c r="B11" i="98"/>
  <c r="B12" i="98"/>
  <c r="B13" i="98"/>
  <c r="B5" i="98"/>
  <c r="B5" i="88"/>
  <c r="G6" i="88"/>
  <c r="G7" i="88"/>
  <c r="G8" i="88"/>
  <c r="G9" i="88"/>
  <c r="G10" i="88"/>
  <c r="G11" i="88"/>
  <c r="G12" i="88"/>
  <c r="G13" i="88"/>
  <c r="G5" i="88"/>
  <c r="F6" i="88"/>
  <c r="F7" i="88"/>
  <c r="F8" i="88"/>
  <c r="F9" i="88"/>
  <c r="F10" i="88"/>
  <c r="F11" i="88"/>
  <c r="F12" i="88"/>
  <c r="F13" i="88"/>
  <c r="F5" i="88"/>
  <c r="B6" i="88"/>
  <c r="B7" i="88"/>
  <c r="B8" i="88"/>
  <c r="B9" i="88"/>
  <c r="B10" i="88"/>
  <c r="B11" i="88"/>
  <c r="B12" i="88"/>
  <c r="B13" i="88"/>
  <c r="I13" i="90"/>
  <c r="Q10" i="152" s="1"/>
  <c r="I14" i="90"/>
  <c r="Q11" i="152" s="1"/>
  <c r="I15" i="90"/>
  <c r="Q12" i="152" s="1"/>
  <c r="I16" i="90"/>
  <c r="Q13" i="152" s="1"/>
  <c r="I17" i="90"/>
  <c r="Q14" i="152" s="1"/>
  <c r="I18" i="90"/>
  <c r="Q15" i="152" s="1"/>
  <c r="I19" i="90"/>
  <c r="Q16" i="152" s="1"/>
  <c r="I12" i="90"/>
  <c r="Q9" i="152" s="1"/>
  <c r="I11" i="90"/>
  <c r="Q8" i="152" s="1"/>
  <c r="I10" i="90"/>
  <c r="Q7" i="152" s="1"/>
  <c r="I9" i="90"/>
  <c r="Q6" i="152" s="1"/>
  <c r="I8" i="90"/>
  <c r="I7" i="90"/>
  <c r="I6" i="90"/>
  <c r="H13" i="90"/>
  <c r="P10" i="152" s="1"/>
  <c r="R10" i="152" s="1"/>
  <c r="H14" i="90"/>
  <c r="P11" i="152" s="1"/>
  <c r="H15" i="90"/>
  <c r="P12" i="152" s="1"/>
  <c r="H16" i="90"/>
  <c r="P13" i="152" s="1"/>
  <c r="H17" i="90"/>
  <c r="P14" i="152" s="1"/>
  <c r="R14" i="152" s="1"/>
  <c r="H18" i="90"/>
  <c r="P15" i="152" s="1"/>
  <c r="H19" i="90"/>
  <c r="P16" i="152" s="1"/>
  <c r="H12" i="90"/>
  <c r="P9" i="152" s="1"/>
  <c r="H11" i="90"/>
  <c r="P8" i="152" s="1"/>
  <c r="R8" i="152" s="1"/>
  <c r="H10" i="90"/>
  <c r="P7" i="152" s="1"/>
  <c r="H9" i="90"/>
  <c r="P6" i="152" s="1"/>
  <c r="H8" i="90"/>
  <c r="H7" i="90"/>
  <c r="H6" i="90"/>
  <c r="C19" i="90"/>
  <c r="C18" i="90"/>
  <c r="C17" i="90"/>
  <c r="C16" i="90"/>
  <c r="C15" i="90"/>
  <c r="C14" i="90"/>
  <c r="C13" i="90"/>
  <c r="C12" i="90"/>
  <c r="C11" i="90"/>
  <c r="C10" i="90"/>
  <c r="C9" i="90"/>
  <c r="C8" i="90"/>
  <c r="C7" i="90"/>
  <c r="C6" i="90"/>
  <c r="N21" i="172" l="1"/>
  <c r="R25" i="152"/>
  <c r="R26" i="152"/>
  <c r="C17" i="82"/>
  <c r="N7" i="153"/>
  <c r="C26" i="82"/>
  <c r="C11" i="82"/>
  <c r="C8" i="82"/>
  <c r="C10" i="82"/>
  <c r="C21" i="82"/>
  <c r="C7" i="82"/>
  <c r="C20" i="82"/>
  <c r="N4" i="153"/>
  <c r="C23" i="82"/>
  <c r="C15" i="82"/>
  <c r="C12" i="82"/>
  <c r="C9" i="82"/>
  <c r="C18" i="82"/>
  <c r="C14" i="82"/>
  <c r="N5" i="153"/>
  <c r="C24" i="82"/>
  <c r="C19" i="82"/>
  <c r="C16" i="82"/>
  <c r="C13" i="82"/>
  <c r="N6" i="153"/>
  <c r="C25" i="82"/>
  <c r="O28" i="152"/>
  <c r="O32" i="152"/>
  <c r="O25" i="152"/>
  <c r="O35" i="152"/>
  <c r="O31" i="152"/>
  <c r="O26" i="152"/>
  <c r="O34" i="152"/>
  <c r="O30" i="152"/>
  <c r="O27" i="152"/>
  <c r="O33" i="152"/>
  <c r="O29" i="152"/>
  <c r="R7" i="152"/>
  <c r="R15" i="152"/>
  <c r="R11" i="152"/>
  <c r="R9" i="152"/>
  <c r="R13" i="152"/>
  <c r="O14" i="152"/>
  <c r="O7" i="152"/>
  <c r="O11" i="152"/>
  <c r="O15" i="152"/>
  <c r="O8" i="152"/>
  <c r="O16" i="152"/>
  <c r="O6" i="152"/>
  <c r="O10" i="152"/>
  <c r="O12" i="152"/>
  <c r="O9" i="152"/>
  <c r="O13" i="152"/>
  <c r="R12" i="152"/>
  <c r="R27" i="152"/>
  <c r="R28" i="152"/>
  <c r="R6" i="152"/>
  <c r="R16" i="152"/>
  <c r="I5" i="100"/>
  <c r="Q24" i="152" s="1"/>
  <c r="H5" i="100"/>
  <c r="P24" i="152" s="1"/>
  <c r="C5" i="100"/>
  <c r="C20" i="89"/>
  <c r="C18" i="89"/>
  <c r="C19" i="89"/>
  <c r="B18" i="89"/>
  <c r="B19" i="89"/>
  <c r="B17" i="89"/>
  <c r="C17" i="89"/>
  <c r="C16" i="89"/>
  <c r="B6" i="89"/>
  <c r="B5" i="89"/>
  <c r="B9" i="89"/>
  <c r="B8" i="89"/>
  <c r="B7" i="89"/>
  <c r="O24" i="152" l="1"/>
  <c r="R24" i="152"/>
  <c r="K15" i="155"/>
  <c r="F12" i="79" l="1"/>
  <c r="B12" i="79"/>
  <c r="F13" i="79" l="1"/>
  <c r="B13" i="79"/>
  <c r="H9" i="98"/>
  <c r="H13" i="98"/>
  <c r="F16" i="98"/>
  <c r="H6" i="98"/>
  <c r="H7" i="98"/>
  <c r="H8" i="98"/>
  <c r="H10" i="98"/>
  <c r="H11" i="98"/>
  <c r="H12" i="98"/>
  <c r="H5" i="98"/>
  <c r="B16" i="98"/>
  <c r="C5" i="90"/>
  <c r="O5" i="152" s="1"/>
  <c r="G16" i="88"/>
  <c r="F16" i="88"/>
  <c r="H7" i="88"/>
  <c r="H6" i="88"/>
  <c r="B16" i="88"/>
  <c r="H16" i="88" l="1"/>
  <c r="H11" i="88"/>
  <c r="H5" i="88"/>
  <c r="H10" i="88"/>
  <c r="H13" i="88"/>
  <c r="H9" i="88"/>
  <c r="H12" i="88"/>
  <c r="H8" i="88"/>
  <c r="A21" i="104" l="1"/>
  <c r="A21" i="95"/>
  <c r="H14" i="88" l="1"/>
  <c r="I16" i="88" l="1"/>
  <c r="I6" i="88"/>
  <c r="I7" i="88"/>
  <c r="I9" i="88"/>
  <c r="I10" i="88"/>
  <c r="I12" i="88"/>
  <c r="I5" i="88"/>
  <c r="I11" i="88"/>
  <c r="I8" i="88"/>
  <c r="I13" i="88"/>
  <c r="J18" i="90"/>
  <c r="J19" i="90"/>
  <c r="H23" i="104"/>
  <c r="L15" i="155" s="1"/>
  <c r="H24" i="104"/>
  <c r="L16" i="155" s="1"/>
  <c r="H25" i="104"/>
  <c r="L17" i="155" s="1"/>
  <c r="H26" i="104"/>
  <c r="L18" i="155" s="1"/>
  <c r="H27" i="104"/>
  <c r="L19" i="155" s="1"/>
  <c r="H28" i="104"/>
  <c r="L20" i="155" s="1"/>
  <c r="H29" i="104"/>
  <c r="L21" i="155" s="1"/>
  <c r="H30" i="104"/>
  <c r="L22" i="155" s="1"/>
  <c r="H31" i="104"/>
  <c r="L23" i="155" s="1"/>
  <c r="H32" i="104"/>
  <c r="L24" i="155" s="1"/>
  <c r="H33" i="104"/>
  <c r="L25" i="155" s="1"/>
  <c r="H34" i="104"/>
  <c r="L26" i="155" s="1"/>
  <c r="H35" i="104"/>
  <c r="L27" i="155" s="1"/>
  <c r="H36" i="104"/>
  <c r="L28" i="155" s="1"/>
  <c r="H37" i="104"/>
  <c r="L29" i="155" s="1"/>
  <c r="H38" i="104"/>
  <c r="L30" i="155" s="1"/>
  <c r="H39" i="104"/>
  <c r="L31" i="155" s="1"/>
  <c r="H40" i="104"/>
  <c r="L32" i="155" s="1"/>
  <c r="G40" i="81" l="1"/>
  <c r="G39" i="81"/>
  <c r="H5" i="90"/>
  <c r="P5" i="152" s="1"/>
  <c r="I20" i="90" l="1"/>
  <c r="I5" i="90"/>
  <c r="Q5" i="152" s="1"/>
  <c r="R5" i="152" s="1"/>
  <c r="H20" i="90"/>
  <c r="J5" i="100" l="1"/>
  <c r="C20" i="90" l="1"/>
  <c r="B14" i="88"/>
  <c r="F14" i="88"/>
  <c r="F15" i="88" s="1"/>
  <c r="D10" i="90" l="1"/>
  <c r="D18" i="90"/>
  <c r="D19" i="90"/>
  <c r="D13" i="90"/>
  <c r="D8" i="90"/>
  <c r="D16" i="90"/>
  <c r="D17" i="90"/>
  <c r="D7" i="90"/>
  <c r="D6" i="90"/>
  <c r="D11" i="90"/>
  <c r="D9" i="90"/>
  <c r="D15" i="90"/>
  <c r="D14" i="90"/>
  <c r="D12" i="90"/>
  <c r="C16" i="88"/>
  <c r="C12" i="88"/>
  <c r="C7" i="88"/>
  <c r="C8" i="88"/>
  <c r="C10" i="88"/>
  <c r="C5" i="88"/>
  <c r="C11" i="88"/>
  <c r="C6" i="88"/>
  <c r="C13" i="88"/>
  <c r="C9" i="88"/>
  <c r="B15" i="88"/>
  <c r="C15" i="88" s="1"/>
  <c r="F63" i="150"/>
  <c r="F15" i="150"/>
  <c r="M5" i="156" s="1"/>
  <c r="G62" i="150"/>
  <c r="G60" i="150"/>
  <c r="G56" i="150"/>
  <c r="G52" i="150"/>
  <c r="F52" i="150"/>
  <c r="G48" i="150"/>
  <c r="G46" i="150"/>
  <c r="F47" i="150"/>
  <c r="G43" i="150"/>
  <c r="G38" i="150"/>
  <c r="G36" i="150"/>
  <c r="G31" i="150"/>
  <c r="G30" i="150"/>
  <c r="G29" i="150"/>
  <c r="G26" i="150"/>
  <c r="G22" i="150"/>
  <c r="G21" i="150"/>
  <c r="G18" i="150"/>
  <c r="G17" i="150"/>
  <c r="G15" i="150"/>
  <c r="G14" i="150"/>
  <c r="G11" i="150"/>
  <c r="G5" i="150"/>
  <c r="F61" i="150" l="1"/>
  <c r="F56" i="150"/>
  <c r="F48" i="150"/>
  <c r="F51" i="150"/>
  <c r="F57" i="150"/>
  <c r="F62" i="150"/>
  <c r="F53" i="150"/>
  <c r="F59" i="150"/>
  <c r="F46" i="150"/>
  <c r="F49" i="150"/>
  <c r="F54" i="150"/>
  <c r="F60" i="150"/>
  <c r="F30" i="150"/>
  <c r="M20" i="156" s="1"/>
  <c r="F14" i="150"/>
  <c r="M4" i="156" s="1"/>
  <c r="G16" i="150"/>
  <c r="G20" i="150"/>
  <c r="G24" i="150"/>
  <c r="G28" i="150"/>
  <c r="G4" i="150"/>
  <c r="G6" i="150"/>
  <c r="F55" i="150"/>
  <c r="G19" i="150"/>
  <c r="G23" i="150"/>
  <c r="G25" i="150"/>
  <c r="G27" i="150"/>
  <c r="G42" i="150"/>
  <c r="D42" i="150"/>
  <c r="G10" i="150"/>
  <c r="G45" i="150"/>
  <c r="D62" i="150"/>
  <c r="G59" i="150"/>
  <c r="G55" i="150"/>
  <c r="G53" i="150"/>
  <c r="G51" i="150"/>
  <c r="G47" i="150"/>
  <c r="G58" i="150"/>
  <c r="G54" i="150"/>
  <c r="G50" i="150"/>
  <c r="F50" i="150"/>
  <c r="F58" i="150"/>
  <c r="G57" i="150"/>
  <c r="G49" i="150"/>
  <c r="E39" i="150"/>
  <c r="F37" i="150" s="1"/>
  <c r="G37" i="150"/>
  <c r="D48" i="150"/>
  <c r="D60" i="150"/>
  <c r="C39" i="150"/>
  <c r="D37" i="150" s="1"/>
  <c r="D47" i="150"/>
  <c r="D51" i="150"/>
  <c r="D55" i="150"/>
  <c r="D59" i="150"/>
  <c r="D63" i="150"/>
  <c r="D50" i="150"/>
  <c r="D54" i="150"/>
  <c r="D58" i="150"/>
  <c r="D56" i="150"/>
  <c r="D43" i="150"/>
  <c r="D49" i="150"/>
  <c r="D53" i="150"/>
  <c r="D57" i="150"/>
  <c r="D61" i="150"/>
  <c r="F10" i="150"/>
  <c r="F11" i="150"/>
  <c r="F16" i="150"/>
  <c r="M6" i="156" s="1"/>
  <c r="F17" i="150"/>
  <c r="M7" i="156" s="1"/>
  <c r="F18" i="150"/>
  <c r="M8" i="156" s="1"/>
  <c r="F19" i="150"/>
  <c r="M9" i="156" s="1"/>
  <c r="F20" i="150"/>
  <c r="M10" i="156" s="1"/>
  <c r="F21" i="150"/>
  <c r="M11" i="156" s="1"/>
  <c r="F23" i="150"/>
  <c r="M13" i="156" s="1"/>
  <c r="F25" i="150"/>
  <c r="M15" i="156" s="1"/>
  <c r="F27" i="150"/>
  <c r="M17" i="156" s="1"/>
  <c r="F29" i="150"/>
  <c r="M19" i="156" s="1"/>
  <c r="F31" i="150"/>
  <c r="M21" i="156" s="1"/>
  <c r="C7" i="150"/>
  <c r="F42" i="150"/>
  <c r="F22" i="150"/>
  <c r="M12" i="156" s="1"/>
  <c r="F24" i="150"/>
  <c r="M14" i="156" s="1"/>
  <c r="F26" i="150"/>
  <c r="M16" i="156" s="1"/>
  <c r="F28" i="150"/>
  <c r="M18" i="156" s="1"/>
  <c r="F43" i="150"/>
  <c r="E7" i="150"/>
  <c r="F4" i="150" s="1"/>
  <c r="D11" i="150"/>
  <c r="D28" i="150"/>
  <c r="L18" i="156" s="1"/>
  <c r="D38" i="150" l="1"/>
  <c r="G61" i="150"/>
  <c r="D46" i="150"/>
  <c r="D52" i="150"/>
  <c r="D26" i="150"/>
  <c r="L16" i="156" s="1"/>
  <c r="D16" i="150"/>
  <c r="L6" i="156" s="1"/>
  <c r="D29" i="150"/>
  <c r="L19" i="156" s="1"/>
  <c r="D15" i="150"/>
  <c r="L5" i="156" s="1"/>
  <c r="D10" i="150"/>
  <c r="D24" i="150"/>
  <c r="L14" i="156" s="1"/>
  <c r="D31" i="150"/>
  <c r="L21" i="156" s="1"/>
  <c r="D14" i="150"/>
  <c r="L4" i="156" s="1"/>
  <c r="D21" i="150"/>
  <c r="L11" i="156" s="1"/>
  <c r="D22" i="150"/>
  <c r="L12" i="156" s="1"/>
  <c r="D20" i="150"/>
  <c r="L10" i="156" s="1"/>
  <c r="D17" i="150"/>
  <c r="L7" i="156" s="1"/>
  <c r="D18" i="150"/>
  <c r="L8" i="156" s="1"/>
  <c r="D30" i="150"/>
  <c r="L20" i="156" s="1"/>
  <c r="D5" i="150"/>
  <c r="G7" i="150"/>
  <c r="D27" i="150"/>
  <c r="L17" i="156" s="1"/>
  <c r="D25" i="150"/>
  <c r="L15" i="156" s="1"/>
  <c r="D23" i="150"/>
  <c r="L13" i="156" s="1"/>
  <c r="D19" i="150"/>
  <c r="L9" i="156" s="1"/>
  <c r="D36" i="150"/>
  <c r="D39" i="150" s="1"/>
  <c r="F38" i="150"/>
  <c r="G39" i="150"/>
  <c r="F36" i="150"/>
  <c r="D4" i="150"/>
  <c r="D6" i="150"/>
  <c r="F5" i="150"/>
  <c r="F6" i="150"/>
  <c r="F39" i="150" l="1"/>
  <c r="F7" i="150"/>
  <c r="D7" i="150"/>
  <c r="I13" i="120" l="1"/>
  <c r="C29" i="120"/>
  <c r="C13" i="120"/>
  <c r="E29" i="120"/>
  <c r="E13" i="120"/>
  <c r="G29" i="120"/>
  <c r="G13" i="120"/>
  <c r="I29" i="120"/>
  <c r="K31" i="114"/>
  <c r="K55" i="114"/>
  <c r="H15" i="120" l="1"/>
  <c r="H14" i="120"/>
  <c r="H30" i="120"/>
  <c r="H31" i="120"/>
  <c r="J31" i="120"/>
  <c r="J30" i="120"/>
  <c r="F30" i="120"/>
  <c r="F31" i="120"/>
  <c r="D15" i="120"/>
  <c r="D14" i="120"/>
  <c r="D31" i="120"/>
  <c r="D30" i="120"/>
  <c r="F14" i="120"/>
  <c r="F15" i="120"/>
  <c r="J15" i="120"/>
  <c r="J14" i="120"/>
  <c r="H25" i="120"/>
  <c r="H27" i="120"/>
  <c r="H21" i="120"/>
  <c r="H23" i="120"/>
  <c r="H28" i="120"/>
  <c r="H20" i="120"/>
  <c r="H22" i="120"/>
  <c r="H26" i="120"/>
  <c r="H24" i="120"/>
  <c r="F20" i="120"/>
  <c r="F28" i="120"/>
  <c r="F22" i="120"/>
  <c r="F24" i="120"/>
  <c r="F26" i="120"/>
  <c r="F25" i="120"/>
  <c r="F23" i="120"/>
  <c r="F21" i="120"/>
  <c r="F27" i="120"/>
  <c r="J22" i="120"/>
  <c r="J24" i="120"/>
  <c r="J26" i="120"/>
  <c r="J20" i="120"/>
  <c r="J28" i="120"/>
  <c r="J25" i="120"/>
  <c r="J21" i="120"/>
  <c r="J27" i="120"/>
  <c r="J23" i="120"/>
  <c r="D21" i="120"/>
  <c r="D23" i="120"/>
  <c r="D25" i="120"/>
  <c r="D27" i="120"/>
  <c r="D26" i="120"/>
  <c r="D22" i="120"/>
  <c r="D20" i="120"/>
  <c r="D28" i="120"/>
  <c r="D24" i="120"/>
  <c r="F8" i="120"/>
  <c r="F12" i="120"/>
  <c r="F4" i="120"/>
  <c r="F6" i="120"/>
  <c r="F10" i="120"/>
  <c r="F11" i="120"/>
  <c r="F9" i="120"/>
  <c r="F5" i="120"/>
  <c r="F7" i="120"/>
  <c r="J4" i="120"/>
  <c r="J6" i="120"/>
  <c r="J10" i="120"/>
  <c r="J8" i="120"/>
  <c r="J12" i="120"/>
  <c r="J7" i="120"/>
  <c r="J11" i="120"/>
  <c r="J9" i="120"/>
  <c r="J5" i="120"/>
  <c r="D9" i="120"/>
  <c r="D5" i="120"/>
  <c r="D7" i="120"/>
  <c r="D11" i="120"/>
  <c r="D8" i="120"/>
  <c r="D12" i="120"/>
  <c r="D6" i="120"/>
  <c r="D10" i="120"/>
  <c r="D4" i="120"/>
  <c r="H5" i="120"/>
  <c r="H7" i="120"/>
  <c r="H11" i="120"/>
  <c r="H9" i="120"/>
  <c r="H8" i="120"/>
  <c r="H4" i="120"/>
  <c r="H6" i="120"/>
  <c r="H12" i="120"/>
  <c r="H10" i="120"/>
  <c r="K43" i="113"/>
  <c r="K48" i="113"/>
  <c r="K56" i="113"/>
  <c r="K30" i="113"/>
  <c r="K48" i="114"/>
  <c r="K59" i="114"/>
  <c r="K54" i="114"/>
  <c r="K15" i="114"/>
  <c r="K11" i="114"/>
  <c r="K22" i="113"/>
  <c r="K37" i="113"/>
  <c r="K36" i="113"/>
  <c r="K21" i="113"/>
  <c r="K39" i="114"/>
  <c r="K37" i="114"/>
  <c r="K27" i="114"/>
  <c r="K19" i="114"/>
  <c r="K57" i="113"/>
  <c r="K49" i="113"/>
  <c r="K38" i="113"/>
  <c r="K25" i="113"/>
  <c r="K63" i="114"/>
  <c r="K62" i="114"/>
  <c r="K60" i="114"/>
  <c r="K58" i="114"/>
  <c r="K51" i="114"/>
  <c r="K49" i="114"/>
  <c r="K47" i="114"/>
  <c r="K38" i="114"/>
  <c r="K29" i="114"/>
  <c r="K26" i="114"/>
  <c r="K17" i="114"/>
  <c r="K60" i="113"/>
  <c r="K52" i="113"/>
  <c r="K26" i="113"/>
  <c r="K17" i="113"/>
  <c r="K14" i="113"/>
  <c r="K4" i="113"/>
  <c r="K53" i="114"/>
  <c r="K44" i="114"/>
  <c r="K23" i="114"/>
  <c r="K12" i="114"/>
  <c r="K61" i="113"/>
  <c r="K53" i="113"/>
  <c r="K29" i="113"/>
  <c r="K18" i="113"/>
  <c r="K6" i="113"/>
  <c r="K25" i="114"/>
  <c r="K20" i="114"/>
  <c r="K16" i="114"/>
  <c r="K15" i="113"/>
  <c r="K57" i="114"/>
  <c r="K21" i="114"/>
  <c r="K59" i="113"/>
  <c r="K55" i="113"/>
  <c r="K51" i="113"/>
  <c r="K47" i="113"/>
  <c r="K42" i="113"/>
  <c r="K28" i="113"/>
  <c r="K24" i="113"/>
  <c r="K20" i="113"/>
  <c r="K16" i="113"/>
  <c r="K56" i="114"/>
  <c r="K46" i="114"/>
  <c r="K28" i="114"/>
  <c r="K62" i="113"/>
  <c r="K58" i="113"/>
  <c r="K54" i="113"/>
  <c r="K50" i="113"/>
  <c r="K31" i="113"/>
  <c r="K27" i="113"/>
  <c r="K23" i="113"/>
  <c r="K19" i="113"/>
  <c r="K10" i="113"/>
  <c r="K50" i="114"/>
  <c r="K43" i="114"/>
  <c r="K22" i="114"/>
  <c r="K11" i="113"/>
  <c r="K18" i="114"/>
  <c r="K14" i="114"/>
  <c r="K5" i="113"/>
  <c r="K61" i="114"/>
  <c r="K52" i="114"/>
  <c r="K30" i="114"/>
  <c r="K24" i="114"/>
  <c r="K29" i="120"/>
  <c r="K13" i="120"/>
  <c r="L15" i="120" l="1"/>
  <c r="L14" i="120"/>
  <c r="L31" i="120"/>
  <c r="L30" i="120"/>
  <c r="L24" i="120"/>
  <c r="L20" i="120"/>
  <c r="L22" i="120"/>
  <c r="L21" i="120"/>
  <c r="L25" i="120"/>
  <c r="L23" i="120"/>
  <c r="L26" i="120"/>
  <c r="L27" i="120"/>
  <c r="L28" i="120"/>
  <c r="L6" i="120"/>
  <c r="L4" i="120"/>
  <c r="L5" i="120"/>
  <c r="L7" i="120"/>
  <c r="L11" i="120"/>
  <c r="L10" i="120"/>
  <c r="L9" i="120"/>
  <c r="L8" i="120"/>
  <c r="L12" i="120"/>
  <c r="J29" i="120"/>
  <c r="J13" i="120"/>
  <c r="H13" i="120"/>
  <c r="F29" i="120"/>
  <c r="D13" i="120"/>
  <c r="D29" i="120"/>
  <c r="H29" i="120"/>
  <c r="F13" i="120"/>
  <c r="K7" i="113"/>
  <c r="K40" i="114"/>
  <c r="K39" i="113"/>
  <c r="L29" i="120" l="1"/>
  <c r="L13" i="120"/>
  <c r="D7" i="85" l="1"/>
  <c r="D6" i="85"/>
  <c r="D5" i="85"/>
  <c r="H8" i="85" l="1"/>
  <c r="B8" i="85"/>
  <c r="D8" i="85"/>
  <c r="E5" i="85" s="1"/>
  <c r="G8" i="104"/>
  <c r="F8" i="104"/>
  <c r="B8" i="104"/>
  <c r="H7" i="104"/>
  <c r="H6" i="104"/>
  <c r="H5" i="104"/>
  <c r="E7" i="85" l="1"/>
  <c r="I7" i="85"/>
  <c r="I5" i="85"/>
  <c r="I6" i="85"/>
  <c r="C5" i="85"/>
  <c r="C7" i="85"/>
  <c r="C6" i="85"/>
  <c r="L3" i="155"/>
  <c r="L5" i="155"/>
  <c r="S10" i="155" s="1"/>
  <c r="L4" i="155"/>
  <c r="S9" i="155" s="1"/>
  <c r="C6" i="104"/>
  <c r="C7" i="104"/>
  <c r="C5" i="104"/>
  <c r="E6" i="85"/>
  <c r="H8" i="104"/>
  <c r="I7" i="104" s="1"/>
  <c r="G8" i="95"/>
  <c r="F8" i="95"/>
  <c r="B8" i="95"/>
  <c r="H7" i="95"/>
  <c r="H6" i="95"/>
  <c r="H5" i="95"/>
  <c r="I6" i="104" l="1"/>
  <c r="M4" i="155" s="1"/>
  <c r="I5" i="104"/>
  <c r="M3" i="155" s="1"/>
  <c r="J6" i="85"/>
  <c r="J7" i="85"/>
  <c r="J6" i="155"/>
  <c r="C5" i="95"/>
  <c r="K3" i="155" s="1"/>
  <c r="C7" i="95"/>
  <c r="K5" i="155" s="1"/>
  <c r="C6" i="95"/>
  <c r="K4" i="155" s="1"/>
  <c r="L6" i="155"/>
  <c r="J5" i="85"/>
  <c r="M5" i="155"/>
  <c r="H8" i="95"/>
  <c r="I5" i="95" s="1"/>
  <c r="I6" i="95" l="1"/>
  <c r="I7" i="95"/>
  <c r="J8" i="85"/>
  <c r="K5" i="85" s="1"/>
  <c r="K6" i="85" l="1"/>
  <c r="K7" i="85"/>
  <c r="D21" i="81"/>
  <c r="E11" i="81" l="1"/>
  <c r="E15" i="81"/>
  <c r="E9" i="81"/>
  <c r="E17" i="81"/>
  <c r="E20" i="81"/>
  <c r="E10" i="81"/>
  <c r="E8" i="81"/>
  <c r="E18" i="81"/>
  <c r="E7" i="81"/>
  <c r="E19" i="81"/>
  <c r="E12" i="81"/>
  <c r="E16" i="81"/>
  <c r="E13" i="81"/>
  <c r="E14" i="81"/>
  <c r="B10" i="80"/>
  <c r="B21" i="80"/>
  <c r="C5" i="80" l="1"/>
  <c r="C9" i="80"/>
  <c r="C6" i="80"/>
  <c r="C8" i="80"/>
  <c r="C7" i="80"/>
  <c r="C20" i="80"/>
  <c r="C19" i="80"/>
  <c r="C16" i="80"/>
  <c r="C17" i="80"/>
  <c r="C18" i="80"/>
  <c r="C10" i="80" l="1"/>
  <c r="C21" i="80"/>
  <c r="D26" i="82"/>
  <c r="N12" i="172" s="1"/>
  <c r="D25" i="82"/>
  <c r="N11" i="172" s="1"/>
  <c r="D24" i="82"/>
  <c r="N10" i="172" s="1"/>
  <c r="D23" i="82"/>
  <c r="N9" i="172" s="1"/>
  <c r="N23" i="172" s="1"/>
  <c r="N24" i="172" l="1"/>
  <c r="N11" i="153"/>
  <c r="N12" i="153"/>
  <c r="N10" i="153"/>
  <c r="N9" i="153"/>
  <c r="F11" i="79"/>
  <c r="G9" i="79" l="1"/>
  <c r="G13" i="79"/>
  <c r="G8" i="79"/>
  <c r="G7" i="79"/>
  <c r="G10" i="79"/>
  <c r="G6" i="79"/>
  <c r="G5" i="79"/>
  <c r="G12" i="79"/>
  <c r="H15" i="85"/>
  <c r="B15" i="85"/>
  <c r="D38" i="85"/>
  <c r="D37" i="85"/>
  <c r="D36" i="85"/>
  <c r="D35" i="85"/>
  <c r="D34" i="85"/>
  <c r="D33" i="85"/>
  <c r="D32" i="85"/>
  <c r="D31" i="85"/>
  <c r="D30" i="85"/>
  <c r="D29" i="85"/>
  <c r="D28" i="85"/>
  <c r="D27" i="85"/>
  <c r="D26" i="85"/>
  <c r="D25" i="85"/>
  <c r="D24" i="85"/>
  <c r="D23" i="85"/>
  <c r="D22" i="85"/>
  <c r="D21" i="85"/>
  <c r="D14" i="85"/>
  <c r="D13" i="85"/>
  <c r="B23" i="84"/>
  <c r="E22" i="84"/>
  <c r="E21" i="84"/>
  <c r="E20" i="84"/>
  <c r="E19" i="84"/>
  <c r="E18" i="84"/>
  <c r="E17" i="84"/>
  <c r="E11" i="84"/>
  <c r="E10" i="84"/>
  <c r="E9" i="84"/>
  <c r="E8" i="84"/>
  <c r="E7" i="84"/>
  <c r="E6" i="84"/>
  <c r="B12" i="84"/>
  <c r="C8" i="84" s="1"/>
  <c r="D22" i="82"/>
  <c r="G21" i="82"/>
  <c r="G20" i="82"/>
  <c r="G19" i="82"/>
  <c r="G18" i="82"/>
  <c r="G17" i="82"/>
  <c r="G16" i="82"/>
  <c r="G15" i="82"/>
  <c r="G14" i="82"/>
  <c r="G13" i="82"/>
  <c r="G12" i="82"/>
  <c r="G11" i="82"/>
  <c r="G10" i="82"/>
  <c r="G9" i="82"/>
  <c r="G8" i="82"/>
  <c r="G7" i="82"/>
  <c r="G6" i="82"/>
  <c r="G20" i="81"/>
  <c r="G19" i="81"/>
  <c r="G18" i="81"/>
  <c r="G17" i="81"/>
  <c r="G16" i="81"/>
  <c r="G15" i="81"/>
  <c r="G14" i="81"/>
  <c r="G13" i="81"/>
  <c r="G12" i="81"/>
  <c r="G11" i="81"/>
  <c r="G10" i="81"/>
  <c r="G9" i="81"/>
  <c r="G8" i="81"/>
  <c r="G7" i="81"/>
  <c r="B11" i="79"/>
  <c r="I13" i="85" l="1"/>
  <c r="I14" i="85"/>
  <c r="C13" i="85"/>
  <c r="C14" i="85"/>
  <c r="C19" i="84"/>
  <c r="C21" i="84"/>
  <c r="C22" i="84"/>
  <c r="C18" i="84"/>
  <c r="C17" i="84"/>
  <c r="C20" i="84"/>
  <c r="C10" i="84"/>
  <c r="C6" i="84"/>
  <c r="C11" i="84"/>
  <c r="C9" i="84"/>
  <c r="C7" i="84"/>
  <c r="E38" i="85"/>
  <c r="E34" i="85"/>
  <c r="E30" i="85"/>
  <c r="E26" i="85"/>
  <c r="E22" i="85"/>
  <c r="E36" i="85"/>
  <c r="E28" i="85"/>
  <c r="E35" i="85"/>
  <c r="E23" i="85"/>
  <c r="E37" i="85"/>
  <c r="E33" i="85"/>
  <c r="E29" i="85"/>
  <c r="E25" i="85"/>
  <c r="E21" i="85"/>
  <c r="E32" i="85"/>
  <c r="E24" i="85"/>
  <c r="E31" i="85"/>
  <c r="E27" i="85"/>
  <c r="E10" i="82"/>
  <c r="E9" i="82"/>
  <c r="E16" i="82"/>
  <c r="E19" i="82"/>
  <c r="E20" i="82"/>
  <c r="E21" i="82"/>
  <c r="E6" i="82"/>
  <c r="E12" i="82"/>
  <c r="E15" i="82"/>
  <c r="E18" i="82"/>
  <c r="E17" i="82"/>
  <c r="E14" i="82"/>
  <c r="E8" i="82"/>
  <c r="E11" i="82"/>
  <c r="E13" i="82"/>
  <c r="E7" i="82"/>
  <c r="E25" i="82"/>
  <c r="E24" i="82"/>
  <c r="E26" i="82"/>
  <c r="E23" i="82"/>
  <c r="C5" i="79"/>
  <c r="C9" i="79"/>
  <c r="C7" i="79"/>
  <c r="C8" i="79"/>
  <c r="C10" i="79"/>
  <c r="C6" i="79"/>
  <c r="C12" i="79"/>
  <c r="C13" i="79"/>
  <c r="G26" i="82"/>
  <c r="C8" i="85"/>
  <c r="I8" i="85"/>
  <c r="G23" i="82"/>
  <c r="G24" i="82"/>
  <c r="G25" i="82"/>
  <c r="E23" i="84"/>
  <c r="F18" i="84" s="1"/>
  <c r="G11" i="79"/>
  <c r="D15" i="85"/>
  <c r="E13" i="85" s="1"/>
  <c r="E12" i="84"/>
  <c r="F9" i="84" s="1"/>
  <c r="F22" i="84" l="1"/>
  <c r="F20" i="84"/>
  <c r="F21" i="84"/>
  <c r="F19" i="84"/>
  <c r="F17" i="84"/>
  <c r="E14" i="85"/>
  <c r="F11" i="84"/>
  <c r="F7" i="84"/>
  <c r="F8" i="84"/>
  <c r="F6" i="84"/>
  <c r="F10" i="84"/>
  <c r="E8" i="85"/>
  <c r="E22" i="82"/>
  <c r="C11" i="79"/>
  <c r="G16" i="104" l="1"/>
  <c r="F16" i="104"/>
  <c r="B16" i="104"/>
  <c r="H15" i="104"/>
  <c r="L10" i="155" s="1"/>
  <c r="S12" i="155" s="1"/>
  <c r="H14" i="104"/>
  <c r="B11" i="102"/>
  <c r="I20" i="100"/>
  <c r="H20" i="100"/>
  <c r="C20" i="100"/>
  <c r="J19" i="100"/>
  <c r="J18" i="100"/>
  <c r="J17" i="100"/>
  <c r="J16" i="100"/>
  <c r="J15" i="100"/>
  <c r="J14" i="100"/>
  <c r="J13" i="100"/>
  <c r="J12" i="100"/>
  <c r="J11" i="100"/>
  <c r="J10" i="100"/>
  <c r="J9" i="100"/>
  <c r="J8" i="100"/>
  <c r="J7" i="100"/>
  <c r="J6" i="100"/>
  <c r="C21" i="99"/>
  <c r="B21" i="99"/>
  <c r="D20" i="99"/>
  <c r="D19" i="99"/>
  <c r="D18" i="99"/>
  <c r="D17" i="99"/>
  <c r="D16" i="99"/>
  <c r="B10" i="99"/>
  <c r="H16" i="98"/>
  <c r="G14" i="98"/>
  <c r="G15" i="98" s="1"/>
  <c r="F14" i="98"/>
  <c r="F15" i="98" s="1"/>
  <c r="B14" i="98"/>
  <c r="H40" i="95"/>
  <c r="J38" i="85" s="1"/>
  <c r="K32" i="155"/>
  <c r="H39" i="95"/>
  <c r="J37" i="85" s="1"/>
  <c r="K31" i="155"/>
  <c r="H38" i="95"/>
  <c r="J36" i="85" s="1"/>
  <c r="K30" i="155"/>
  <c r="H37" i="95"/>
  <c r="J35" i="85" s="1"/>
  <c r="K29" i="155"/>
  <c r="H36" i="95"/>
  <c r="J34" i="85" s="1"/>
  <c r="K28" i="155"/>
  <c r="H35" i="95"/>
  <c r="J33" i="85" s="1"/>
  <c r="K27" i="155"/>
  <c r="H34" i="95"/>
  <c r="J32" i="85" s="1"/>
  <c r="K26" i="155"/>
  <c r="H33" i="95"/>
  <c r="J31" i="85" s="1"/>
  <c r="K25" i="155"/>
  <c r="H32" i="95"/>
  <c r="J30" i="85" s="1"/>
  <c r="K24" i="155"/>
  <c r="H31" i="95"/>
  <c r="J29" i="85" s="1"/>
  <c r="K23" i="155"/>
  <c r="H30" i="95"/>
  <c r="J28" i="85" s="1"/>
  <c r="K22" i="155"/>
  <c r="H29" i="95"/>
  <c r="J27" i="85" s="1"/>
  <c r="K21" i="155"/>
  <c r="H28" i="95"/>
  <c r="J26" i="85" s="1"/>
  <c r="K20" i="155"/>
  <c r="H27" i="95"/>
  <c r="J25" i="85" s="1"/>
  <c r="K19" i="155"/>
  <c r="H26" i="95"/>
  <c r="J24" i="85" s="1"/>
  <c r="K18" i="155"/>
  <c r="H25" i="95"/>
  <c r="J23" i="85" s="1"/>
  <c r="K17" i="155"/>
  <c r="H24" i="95"/>
  <c r="J22" i="85" s="1"/>
  <c r="K16" i="155"/>
  <c r="H23" i="95"/>
  <c r="J21" i="85" s="1"/>
  <c r="G16" i="95"/>
  <c r="F16" i="95"/>
  <c r="B16" i="95"/>
  <c r="H15" i="95"/>
  <c r="H14" i="95"/>
  <c r="B11" i="93"/>
  <c r="G25" i="91"/>
  <c r="F25" i="91"/>
  <c r="B25" i="91"/>
  <c r="O7" i="172" s="1"/>
  <c r="G24" i="91"/>
  <c r="F24" i="91"/>
  <c r="B24" i="91"/>
  <c r="O6" i="172" s="1"/>
  <c r="G23" i="91"/>
  <c r="F23" i="91"/>
  <c r="B23" i="91"/>
  <c r="O5" i="172" s="1"/>
  <c r="G22" i="91"/>
  <c r="F22" i="91"/>
  <c r="B22" i="91"/>
  <c r="O4" i="172" s="1"/>
  <c r="G21" i="91"/>
  <c r="F21" i="91"/>
  <c r="B21" i="91"/>
  <c r="H20" i="91"/>
  <c r="H19" i="91"/>
  <c r="H18" i="91"/>
  <c r="H17" i="91"/>
  <c r="H16" i="91"/>
  <c r="H15" i="91"/>
  <c r="H14" i="91"/>
  <c r="H13" i="91"/>
  <c r="H12" i="91"/>
  <c r="H11" i="91"/>
  <c r="H10" i="91"/>
  <c r="H9" i="91"/>
  <c r="H8" i="91"/>
  <c r="H7" i="91"/>
  <c r="H6" i="91"/>
  <c r="H5" i="91"/>
  <c r="J17" i="90"/>
  <c r="J16" i="90"/>
  <c r="J15" i="90"/>
  <c r="J14" i="90"/>
  <c r="J13" i="90"/>
  <c r="J12" i="90"/>
  <c r="J11" i="90"/>
  <c r="J10" i="90"/>
  <c r="J9" i="90"/>
  <c r="J8" i="90"/>
  <c r="J7" i="90"/>
  <c r="J6" i="90"/>
  <c r="J5" i="90"/>
  <c r="G6" i="81"/>
  <c r="C21" i="89"/>
  <c r="B21" i="89"/>
  <c r="D20" i="89"/>
  <c r="D19" i="89"/>
  <c r="D18" i="89"/>
  <c r="D17" i="89"/>
  <c r="D16" i="89"/>
  <c r="G14" i="88"/>
  <c r="G15" i="88" s="1"/>
  <c r="H15" i="88" s="1"/>
  <c r="I15" i="88" s="1"/>
  <c r="Q6" i="172" l="1"/>
  <c r="M6" i="172"/>
  <c r="P6" i="172" s="1"/>
  <c r="M4" i="172"/>
  <c r="Q4" i="172"/>
  <c r="Q7" i="172"/>
  <c r="M7" i="172"/>
  <c r="P7" i="172" s="1"/>
  <c r="M5" i="172"/>
  <c r="Q5" i="172"/>
  <c r="N15" i="155"/>
  <c r="I38" i="104"/>
  <c r="M30" i="155" s="1"/>
  <c r="I34" i="104"/>
  <c r="M26" i="155" s="1"/>
  <c r="I30" i="104"/>
  <c r="M22" i="155" s="1"/>
  <c r="I26" i="104"/>
  <c r="M18" i="155" s="1"/>
  <c r="I35" i="104"/>
  <c r="M27" i="155" s="1"/>
  <c r="I27" i="104"/>
  <c r="M19" i="155" s="1"/>
  <c r="I37" i="104"/>
  <c r="M29" i="155" s="1"/>
  <c r="I33" i="104"/>
  <c r="M25" i="155" s="1"/>
  <c r="I29" i="104"/>
  <c r="I25" i="104"/>
  <c r="M17" i="155" s="1"/>
  <c r="I31" i="104"/>
  <c r="M23" i="155" s="1"/>
  <c r="I40" i="104"/>
  <c r="I36" i="104"/>
  <c r="M28" i="155" s="1"/>
  <c r="I32" i="104"/>
  <c r="M24" i="155" s="1"/>
  <c r="I28" i="104"/>
  <c r="M20" i="155" s="1"/>
  <c r="I24" i="104"/>
  <c r="M16" i="155" s="1"/>
  <c r="I39" i="104"/>
  <c r="M31" i="155" s="1"/>
  <c r="I23" i="104"/>
  <c r="M15" i="155" s="1"/>
  <c r="C15" i="104"/>
  <c r="C14" i="104"/>
  <c r="C9" i="102"/>
  <c r="C5" i="102"/>
  <c r="C10" i="102"/>
  <c r="C6" i="102"/>
  <c r="C8" i="102"/>
  <c r="C7" i="102"/>
  <c r="E21" i="95"/>
  <c r="I37" i="95"/>
  <c r="I33" i="95"/>
  <c r="I29" i="95"/>
  <c r="I25" i="95"/>
  <c r="I35" i="95"/>
  <c r="I27" i="95"/>
  <c r="I38" i="95"/>
  <c r="I30" i="95"/>
  <c r="I40" i="95"/>
  <c r="I36" i="95"/>
  <c r="I32" i="95"/>
  <c r="I28" i="95"/>
  <c r="I39" i="95"/>
  <c r="I31" i="95"/>
  <c r="I34" i="95"/>
  <c r="I26" i="95"/>
  <c r="J14" i="85"/>
  <c r="J11" i="155"/>
  <c r="C14" i="95"/>
  <c r="K9" i="155" s="1"/>
  <c r="C15" i="95"/>
  <c r="C9" i="93"/>
  <c r="C5" i="93"/>
  <c r="C7" i="93"/>
  <c r="C6" i="93"/>
  <c r="C8" i="93"/>
  <c r="C10" i="93"/>
  <c r="D8" i="100"/>
  <c r="D16" i="100"/>
  <c r="D11" i="100"/>
  <c r="D13" i="100"/>
  <c r="D6" i="100"/>
  <c r="D19" i="100"/>
  <c r="D10" i="100"/>
  <c r="D14" i="100"/>
  <c r="D9" i="100"/>
  <c r="D18" i="100"/>
  <c r="D12" i="100"/>
  <c r="D7" i="100"/>
  <c r="D17" i="100"/>
  <c r="D15" i="100"/>
  <c r="D5" i="100"/>
  <c r="C8" i="99"/>
  <c r="C7" i="99"/>
  <c r="C9" i="99"/>
  <c r="C6" i="99"/>
  <c r="C5" i="99"/>
  <c r="C16" i="98"/>
  <c r="C11" i="98"/>
  <c r="C10" i="98"/>
  <c r="C9" i="98"/>
  <c r="C7" i="98"/>
  <c r="C6" i="98"/>
  <c r="C8" i="98"/>
  <c r="C12" i="98"/>
  <c r="C5" i="98"/>
  <c r="C13" i="98"/>
  <c r="O4" i="153"/>
  <c r="C22" i="91"/>
  <c r="C5" i="91"/>
  <c r="C19" i="91"/>
  <c r="C14" i="91"/>
  <c r="C13" i="91"/>
  <c r="C11" i="91"/>
  <c r="C12" i="91"/>
  <c r="C8" i="91"/>
  <c r="C7" i="91"/>
  <c r="C9" i="91"/>
  <c r="C15" i="91"/>
  <c r="C10" i="91"/>
  <c r="C20" i="91"/>
  <c r="C16" i="91"/>
  <c r="C6" i="91"/>
  <c r="C18" i="91"/>
  <c r="C17" i="91"/>
  <c r="O7" i="153"/>
  <c r="C25" i="91"/>
  <c r="O6" i="153"/>
  <c r="C24" i="91"/>
  <c r="O5" i="153"/>
  <c r="C23" i="91"/>
  <c r="G30" i="81"/>
  <c r="G31" i="81"/>
  <c r="G26" i="81"/>
  <c r="G38" i="81"/>
  <c r="G27" i="81"/>
  <c r="G35" i="81"/>
  <c r="G28" i="81"/>
  <c r="G32" i="81"/>
  <c r="G36" i="81"/>
  <c r="G34" i="81"/>
  <c r="G29" i="81"/>
  <c r="G33" i="81"/>
  <c r="G37" i="81"/>
  <c r="E21" i="104"/>
  <c r="L9" i="155"/>
  <c r="N16" i="155"/>
  <c r="D4" i="155"/>
  <c r="D8" i="155"/>
  <c r="D7" i="155"/>
  <c r="D6" i="155"/>
  <c r="D5" i="155"/>
  <c r="N19" i="155"/>
  <c r="N23" i="155"/>
  <c r="N29" i="155"/>
  <c r="N18" i="155"/>
  <c r="N22" i="155"/>
  <c r="N26" i="155"/>
  <c r="N28" i="155"/>
  <c r="N32" i="155"/>
  <c r="N20" i="155"/>
  <c r="N24" i="155"/>
  <c r="N30" i="155"/>
  <c r="N17" i="155"/>
  <c r="N21" i="155"/>
  <c r="N25" i="155"/>
  <c r="N27" i="155"/>
  <c r="N31" i="155"/>
  <c r="J20" i="100"/>
  <c r="K5" i="100" s="1"/>
  <c r="D21" i="89"/>
  <c r="E16" i="89" s="1"/>
  <c r="C8" i="104"/>
  <c r="K10" i="155"/>
  <c r="J13" i="85"/>
  <c r="H15" i="98"/>
  <c r="B15" i="98"/>
  <c r="C15" i="98" s="1"/>
  <c r="M32" i="155"/>
  <c r="M21" i="155"/>
  <c r="D21" i="99"/>
  <c r="E16" i="99" s="1"/>
  <c r="H25" i="91"/>
  <c r="O12" i="172" s="1"/>
  <c r="J20" i="90"/>
  <c r="K17" i="90" s="1"/>
  <c r="H21" i="91"/>
  <c r="I8" i="91" s="1"/>
  <c r="H23" i="91"/>
  <c r="O10" i="172" s="1"/>
  <c r="H16" i="104"/>
  <c r="I14" i="104" s="1"/>
  <c r="H14" i="98"/>
  <c r="H16" i="95"/>
  <c r="I15" i="95" s="1"/>
  <c r="H22" i="91"/>
  <c r="O9" i="172" s="1"/>
  <c r="H24" i="91"/>
  <c r="O11" i="172" s="1"/>
  <c r="M11" i="172" l="1"/>
  <c r="P11" i="172" s="1"/>
  <c r="Q11" i="172"/>
  <c r="M10" i="172"/>
  <c r="Q10" i="172"/>
  <c r="Q12" i="172"/>
  <c r="M12" i="172"/>
  <c r="P12" i="172" s="1"/>
  <c r="M9" i="172"/>
  <c r="Q9" i="172"/>
  <c r="P5" i="172"/>
  <c r="M21" i="172"/>
  <c r="P4" i="172"/>
  <c r="M20" i="172"/>
  <c r="M7" i="153"/>
  <c r="P7" i="153" s="1"/>
  <c r="Q7" i="153"/>
  <c r="M6" i="153"/>
  <c r="P6" i="153" s="1"/>
  <c r="Q6" i="153"/>
  <c r="M4" i="153"/>
  <c r="P4" i="153" s="1"/>
  <c r="Q4" i="153"/>
  <c r="M5" i="153"/>
  <c r="P5" i="153" s="1"/>
  <c r="Q5" i="153"/>
  <c r="E19" i="89"/>
  <c r="E18" i="89"/>
  <c r="E17" i="89"/>
  <c r="E20" i="89"/>
  <c r="O16" i="155"/>
  <c r="L11" i="155"/>
  <c r="I15" i="104"/>
  <c r="M10" i="155" s="1"/>
  <c r="C11" i="102"/>
  <c r="I14" i="95"/>
  <c r="K38" i="85"/>
  <c r="K34" i="85"/>
  <c r="K30" i="85"/>
  <c r="K26" i="85"/>
  <c r="K22" i="85"/>
  <c r="K32" i="85"/>
  <c r="K24" i="85"/>
  <c r="K31" i="85"/>
  <c r="K27" i="85"/>
  <c r="K37" i="85"/>
  <c r="K33" i="85"/>
  <c r="K29" i="85"/>
  <c r="K25" i="85"/>
  <c r="K21" i="85"/>
  <c r="K36" i="85"/>
  <c r="K28" i="85"/>
  <c r="K35" i="85"/>
  <c r="K23" i="85"/>
  <c r="K8" i="100"/>
  <c r="K14" i="100"/>
  <c r="K17" i="100"/>
  <c r="K11" i="100"/>
  <c r="K10" i="100"/>
  <c r="K15" i="100"/>
  <c r="K16" i="100"/>
  <c r="K9" i="100"/>
  <c r="K7" i="100"/>
  <c r="K6" i="100"/>
  <c r="K12" i="100"/>
  <c r="K19" i="100"/>
  <c r="K18" i="100"/>
  <c r="K13" i="100"/>
  <c r="E18" i="99"/>
  <c r="E20" i="99"/>
  <c r="E19" i="99"/>
  <c r="E17" i="99"/>
  <c r="I16" i="98"/>
  <c r="I8" i="98"/>
  <c r="I5" i="98"/>
  <c r="I10" i="98"/>
  <c r="I13" i="98"/>
  <c r="I7" i="98"/>
  <c r="I6" i="98"/>
  <c r="I11" i="98"/>
  <c r="I12" i="98"/>
  <c r="I9" i="98"/>
  <c r="I15" i="98"/>
  <c r="O12" i="153"/>
  <c r="Q12" i="153" s="1"/>
  <c r="I25" i="91"/>
  <c r="I19" i="91"/>
  <c r="I10" i="91"/>
  <c r="I17" i="91"/>
  <c r="I20" i="91"/>
  <c r="O10" i="153"/>
  <c r="I23" i="91"/>
  <c r="I15" i="91"/>
  <c r="I6" i="91"/>
  <c r="I13" i="91"/>
  <c r="I16" i="91"/>
  <c r="O11" i="153"/>
  <c r="I24" i="91"/>
  <c r="I11" i="91"/>
  <c r="I18" i="91"/>
  <c r="I9" i="91"/>
  <c r="I12" i="91"/>
  <c r="O9" i="153"/>
  <c r="Q9" i="153" s="1"/>
  <c r="I22" i="91"/>
  <c r="I7" i="91"/>
  <c r="I14" i="91"/>
  <c r="I5" i="91"/>
  <c r="K14" i="90"/>
  <c r="K12" i="90"/>
  <c r="K11" i="90"/>
  <c r="K13" i="90"/>
  <c r="K19" i="90"/>
  <c r="K18" i="90"/>
  <c r="K16" i="90"/>
  <c r="K8" i="90"/>
  <c r="K15" i="90"/>
  <c r="K7" i="90"/>
  <c r="K6" i="90"/>
  <c r="K5" i="90"/>
  <c r="K9" i="90"/>
  <c r="K10" i="90"/>
  <c r="O21" i="155"/>
  <c r="O28" i="155"/>
  <c r="O26" i="155"/>
  <c r="O32" i="155"/>
  <c r="O17" i="155"/>
  <c r="O18" i="155"/>
  <c r="O29" i="155"/>
  <c r="S11" i="155"/>
  <c r="E3" i="155"/>
  <c r="O25" i="155"/>
  <c r="O22" i="155"/>
  <c r="O23" i="155"/>
  <c r="O19" i="155"/>
  <c r="O24" i="155"/>
  <c r="O20" i="155"/>
  <c r="O31" i="155"/>
  <c r="F6" i="155"/>
  <c r="F4" i="155"/>
  <c r="O15" i="155"/>
  <c r="F8" i="155"/>
  <c r="F5" i="155"/>
  <c r="F7" i="155"/>
  <c r="O30" i="155"/>
  <c r="O27" i="155"/>
  <c r="C7" i="155"/>
  <c r="C4" i="155"/>
  <c r="C8" i="155"/>
  <c r="C5" i="155"/>
  <c r="C6" i="155"/>
  <c r="M9" i="155"/>
  <c r="I8" i="104"/>
  <c r="M6" i="155" s="1"/>
  <c r="C8" i="95"/>
  <c r="K6" i="155" s="1"/>
  <c r="I8" i="95"/>
  <c r="J15" i="85"/>
  <c r="K14" i="85" s="1"/>
  <c r="C16" i="104"/>
  <c r="C16" i="95"/>
  <c r="K11" i="155" s="1"/>
  <c r="C11" i="93"/>
  <c r="C21" i="91"/>
  <c r="D20" i="90"/>
  <c r="D5" i="90"/>
  <c r="D20" i="100"/>
  <c r="C14" i="98"/>
  <c r="C14" i="88"/>
  <c r="M12" i="153" l="1"/>
  <c r="P12" i="153" s="1"/>
  <c r="P9" i="172"/>
  <c r="M23" i="172"/>
  <c r="P10" i="172"/>
  <c r="M24" i="172"/>
  <c r="O24" i="172" s="1"/>
  <c r="O21" i="172"/>
  <c r="Q21" i="172" s="1"/>
  <c r="O20" i="172"/>
  <c r="Q20" i="172" s="1"/>
  <c r="M10" i="153"/>
  <c r="P10" i="153" s="1"/>
  <c r="Q10" i="153"/>
  <c r="M11" i="153"/>
  <c r="P11" i="153" s="1"/>
  <c r="Q11" i="153"/>
  <c r="M9" i="153"/>
  <c r="P9" i="153" s="1"/>
  <c r="K13" i="85"/>
  <c r="E6" i="155"/>
  <c r="E4" i="155"/>
  <c r="S13" i="155"/>
  <c r="T11" i="155" s="1"/>
  <c r="E8" i="155"/>
  <c r="E5" i="155"/>
  <c r="E7" i="155"/>
  <c r="E21" i="99"/>
  <c r="I16" i="104"/>
  <c r="M11" i="155" s="1"/>
  <c r="I14" i="98"/>
  <c r="K20" i="90"/>
  <c r="I16" i="95"/>
  <c r="I21" i="91"/>
  <c r="I14" i="88"/>
  <c r="K20" i="100"/>
  <c r="E21" i="89"/>
  <c r="P21" i="172" l="1"/>
  <c r="P20" i="172"/>
  <c r="O23" i="172"/>
  <c r="Q23" i="172" s="1"/>
  <c r="P24" i="172"/>
  <c r="Q24" i="172"/>
  <c r="T9" i="155"/>
  <c r="T10" i="155"/>
  <c r="T13" i="155"/>
  <c r="T12" i="155"/>
  <c r="K15" i="85"/>
  <c r="P23" i="172" l="1"/>
  <c r="G22" i="82"/>
  <c r="G41" i="81"/>
  <c r="D41" i="81"/>
  <c r="G21" i="81"/>
  <c r="E29" i="81" l="1"/>
  <c r="E38" i="81"/>
  <c r="E30" i="81"/>
  <c r="E31" i="81"/>
  <c r="E35" i="81"/>
  <c r="E28" i="81"/>
  <c r="E37" i="81"/>
  <c r="E36" i="81"/>
  <c r="E32" i="81"/>
  <c r="E34" i="81"/>
  <c r="E27" i="81"/>
  <c r="E39" i="81"/>
  <c r="E33" i="81"/>
  <c r="E40" i="81"/>
  <c r="H20" i="82"/>
  <c r="H9" i="82"/>
  <c r="H7" i="82"/>
  <c r="H6" i="82"/>
  <c r="H14" i="82"/>
  <c r="H21" i="82"/>
  <c r="H11" i="82"/>
  <c r="H13" i="82"/>
  <c r="H15" i="82"/>
  <c r="H10" i="82"/>
  <c r="H19" i="82"/>
  <c r="H17" i="82"/>
  <c r="H8" i="82"/>
  <c r="H16" i="82"/>
  <c r="H12" i="82"/>
  <c r="H18" i="82"/>
  <c r="H25" i="82"/>
  <c r="H23" i="82"/>
  <c r="H24" i="82"/>
  <c r="H26" i="82"/>
  <c r="H14" i="81"/>
  <c r="H10" i="81"/>
  <c r="H18" i="81"/>
  <c r="H13" i="81"/>
  <c r="H7" i="81"/>
  <c r="H8" i="81"/>
  <c r="H11" i="81"/>
  <c r="H15" i="81"/>
  <c r="H16" i="81"/>
  <c r="H12" i="81"/>
  <c r="H19" i="81"/>
  <c r="H9" i="81"/>
  <c r="H17" i="81"/>
  <c r="H20" i="81"/>
  <c r="H41" i="81"/>
  <c r="H40" i="81"/>
  <c r="H39" i="81"/>
  <c r="H38" i="81"/>
  <c r="H35" i="81"/>
  <c r="H36" i="81"/>
  <c r="H30" i="81"/>
  <c r="H34" i="81"/>
  <c r="H29" i="81"/>
  <c r="H27" i="81"/>
  <c r="H28" i="81"/>
  <c r="H33" i="81"/>
  <c r="H31" i="81"/>
  <c r="H32" i="81"/>
  <c r="H37" i="81"/>
  <c r="C12" i="84"/>
  <c r="C23" i="84"/>
  <c r="C15" i="85"/>
  <c r="I15" i="85"/>
  <c r="E15" i="85"/>
  <c r="C22" i="82"/>
  <c r="F23" i="84" l="1"/>
  <c r="E26" i="81"/>
  <c r="E6" i="81"/>
  <c r="E21" i="81"/>
  <c r="F12" i="84"/>
  <c r="H22" i="82"/>
  <c r="H26" i="81"/>
  <c r="H6" i="81"/>
  <c r="H21" i="81"/>
  <c r="E41" i="81"/>
  <c r="B10" i="89" l="1"/>
  <c r="C7" i="89" l="1"/>
  <c r="C5" i="89"/>
  <c r="C6" i="89"/>
  <c r="C9" i="89"/>
  <c r="C8" i="89"/>
  <c r="C10" i="89" l="1"/>
</calcChain>
</file>

<file path=xl/sharedStrings.xml><?xml version="1.0" encoding="utf-8"?>
<sst xmlns="http://schemas.openxmlformats.org/spreadsheetml/2006/main" count="3993" uniqueCount="594">
  <si>
    <t>人数</t>
    <rPh sb="0" eb="2">
      <t>ニンズウ</t>
    </rPh>
    <phoneticPr fontId="2"/>
  </si>
  <si>
    <t>割合</t>
    <rPh sb="0" eb="2">
      <t>ワリアイ</t>
    </rPh>
    <phoneticPr fontId="2"/>
  </si>
  <si>
    <t>19歳以下</t>
  </si>
  <si>
    <t>20歳代</t>
  </si>
  <si>
    <t>30歳代</t>
  </si>
  <si>
    <t>40歳代</t>
  </si>
  <si>
    <t>50歳代</t>
  </si>
  <si>
    <t>60歳代</t>
  </si>
  <si>
    <t>70歳代</t>
  </si>
  <si>
    <t>80歳代</t>
  </si>
  <si>
    <t>90歳以上</t>
  </si>
  <si>
    <t>総計</t>
    <rPh sb="0" eb="2">
      <t>ソウケイ</t>
    </rPh>
    <phoneticPr fontId="2"/>
  </si>
  <si>
    <t>計</t>
    <rPh sb="0" eb="1">
      <t>ケイ</t>
    </rPh>
    <phoneticPr fontId="2"/>
  </si>
  <si>
    <t>〔全状態像〕</t>
    <rPh sb="1" eb="2">
      <t>ゼン</t>
    </rPh>
    <rPh sb="2" eb="4">
      <t>ジョウタイ</t>
    </rPh>
    <rPh sb="4" eb="5">
      <t>ゾウ</t>
    </rPh>
    <phoneticPr fontId="2"/>
  </si>
  <si>
    <t>措置入院・緊急措置入院</t>
  </si>
  <si>
    <t>医療保護入院</t>
  </si>
  <si>
    <t>任意入院</t>
  </si>
  <si>
    <t>応急入院</t>
  </si>
  <si>
    <t>その他</t>
  </si>
  <si>
    <t>アルツハイマー病の認知症・血管性認知症以外の、
症状性を含む器質性精神障害（F02-F09）</t>
  </si>
  <si>
    <t>精神作用物質使用による精神及び行動の障害（F1）</t>
  </si>
  <si>
    <t>統合失調症、統合失調症型障害及び妄想性障害（F2）</t>
  </si>
  <si>
    <t>気分（感情）障害（F3）</t>
  </si>
  <si>
    <t>心理的発達の障害（F8）</t>
  </si>
  <si>
    <t>神経症性障害、ストレス関連障害及び身体表現性障害（F4）</t>
    <phoneticPr fontId="2"/>
  </si>
  <si>
    <t>生理的障害及び身体的要因に関連した行動症候群（F5）</t>
    <phoneticPr fontId="2"/>
  </si>
  <si>
    <t>2年～3年未満</t>
    <phoneticPr fontId="2"/>
  </si>
  <si>
    <t>3年～4年未満</t>
    <phoneticPr fontId="2"/>
  </si>
  <si>
    <t>寛解</t>
  </si>
  <si>
    <t>院内寛解</t>
  </si>
  <si>
    <t>軽度</t>
  </si>
  <si>
    <t>中等度</t>
  </si>
  <si>
    <t>重度</t>
  </si>
  <si>
    <t>最重度</t>
  </si>
  <si>
    <t>退院阻害要因がある</t>
    <rPh sb="0" eb="2">
      <t>タイイン</t>
    </rPh>
    <rPh sb="2" eb="4">
      <t>ソガイ</t>
    </rPh>
    <rPh sb="4" eb="6">
      <t>ヨウイン</t>
    </rPh>
    <phoneticPr fontId="2"/>
  </si>
  <si>
    <t>退院阻害要因はない</t>
  </si>
  <si>
    <t>退院予定</t>
  </si>
  <si>
    <t>回答数</t>
    <rPh sb="0" eb="2">
      <t>カイトウ</t>
    </rPh>
    <rPh sb="2" eb="3">
      <t>スウ</t>
    </rPh>
    <phoneticPr fontId="2"/>
  </si>
  <si>
    <t>反社会的行動が予測される</t>
  </si>
  <si>
    <t>退院意欲が乏しい</t>
  </si>
  <si>
    <t>現実認識が乏しい</t>
  </si>
  <si>
    <t>退院による環境変化への不安が強い</t>
  </si>
  <si>
    <t>援助者との対人関係がもてない</t>
  </si>
  <si>
    <t>家事（食事・洗濯・金銭管理など）ができない</t>
  </si>
  <si>
    <t>家族がいない、本人をサポートする機能が実質ない</t>
  </si>
  <si>
    <t>家族から退院に反対がある</t>
  </si>
  <si>
    <t>住まいの確保ができない</t>
  </si>
  <si>
    <t>生活費の確保ができない</t>
  </si>
  <si>
    <t>日常生活を支える制度がない</t>
  </si>
  <si>
    <t>救急診療体制がない</t>
  </si>
  <si>
    <t>退院に向けてサポートする人的資源が乏しい</t>
  </si>
  <si>
    <t>退院後サポート・マネジメントする人的資源が乏しい</t>
  </si>
  <si>
    <t>住所地と入院先の距離があり支援体制をとりにくい</t>
  </si>
  <si>
    <t>その他の退院阻害要因がある</t>
  </si>
  <si>
    <t>【退院阻害要因の有無】</t>
    <phoneticPr fontId="2"/>
  </si>
  <si>
    <t>【退院阻害要因（複数回答）】</t>
    <phoneticPr fontId="2"/>
  </si>
  <si>
    <t>1年未満（再掲）</t>
    <rPh sb="5" eb="7">
      <t>サイケイ</t>
    </rPh>
    <phoneticPr fontId="2"/>
  </si>
  <si>
    <t>1年以上5年未満（再掲）</t>
    <rPh sb="2" eb="4">
      <t>イジョウ</t>
    </rPh>
    <rPh sb="9" eb="11">
      <t>サイケイ</t>
    </rPh>
    <phoneticPr fontId="2"/>
  </si>
  <si>
    <t>5年以上10年未満（再掲）</t>
    <rPh sb="1" eb="2">
      <t>ネン</t>
    </rPh>
    <rPh sb="2" eb="4">
      <t>イジョウ</t>
    </rPh>
    <rPh sb="10" eb="12">
      <t>サイケイ</t>
    </rPh>
    <phoneticPr fontId="2"/>
  </si>
  <si>
    <t>10年以上（再掲）</t>
    <rPh sb="6" eb="8">
      <t>サイケイ</t>
    </rPh>
    <phoneticPr fontId="2"/>
  </si>
  <si>
    <t>1ヶ月未満</t>
  </si>
  <si>
    <t>20年以上</t>
  </si>
  <si>
    <t>合計</t>
    <rPh sb="0" eb="2">
      <t>ゴウケイ</t>
    </rPh>
    <phoneticPr fontId="2"/>
  </si>
  <si>
    <t>データ貼り付け箇所</t>
    <rPh sb="3" eb="4">
      <t>ハ</t>
    </rPh>
    <rPh sb="5" eb="6">
      <t>ツ</t>
    </rPh>
    <rPh sb="7" eb="9">
      <t>カショ</t>
    </rPh>
    <phoneticPr fontId="2"/>
  </si>
  <si>
    <t>在院期間区分</t>
    <rPh sb="0" eb="2">
      <t>ザイイン</t>
    </rPh>
    <rPh sb="2" eb="4">
      <t>キカン</t>
    </rPh>
    <rPh sb="4" eb="6">
      <t>クブン</t>
    </rPh>
    <phoneticPr fontId="2"/>
  </si>
  <si>
    <t>年齢階層</t>
    <rPh sb="0" eb="2">
      <t>ネンレイ</t>
    </rPh>
    <rPh sb="2" eb="4">
      <t>カイソウ</t>
    </rPh>
    <phoneticPr fontId="2"/>
  </si>
  <si>
    <t>病識がなく通院服薬の中断が予測される</t>
    <phoneticPr fontId="2"/>
  </si>
  <si>
    <t>てんかん（症状性を含む器質性障害(F0)に属さないもの）</t>
  </si>
  <si>
    <t>アルツハイマー病の認知症・血管性認知症以外の、症状性を含む器質性精神障害（F02-F09）</t>
  </si>
  <si>
    <t>1年未満</t>
    <phoneticPr fontId="2"/>
  </si>
  <si>
    <t>1年以上
5年未満</t>
    <phoneticPr fontId="2"/>
  </si>
  <si>
    <t>5年以上
10年未満</t>
    <phoneticPr fontId="2"/>
  </si>
  <si>
    <t>10年以上</t>
    <phoneticPr fontId="2"/>
  </si>
  <si>
    <t>統合失調症、統合失調症型障害及び妄想性障害（F2）</t>
    <phoneticPr fontId="2"/>
  </si>
  <si>
    <t>【年齢階層×在院期間区分】〔統合失調症、統合失調症型障害及び妄想性障害（F2）〕</t>
    <rPh sb="14" eb="19">
      <t>トウゴウシッチョウショウ</t>
    </rPh>
    <rPh sb="20" eb="25">
      <t>トウゴウシッチョウショウ</t>
    </rPh>
    <rPh sb="25" eb="26">
      <t>ガタ</t>
    </rPh>
    <rPh sb="26" eb="28">
      <t>ショウガイ</t>
    </rPh>
    <rPh sb="28" eb="29">
      <t>オヨ</t>
    </rPh>
    <rPh sb="30" eb="33">
      <t>モウソウセイ</t>
    </rPh>
    <rPh sb="33" eb="35">
      <t>ショウガイ</t>
    </rPh>
    <phoneticPr fontId="2"/>
  </si>
  <si>
    <t>【年齢階層×在院期間区分】〔統合失調症、統合失調症型障害及び妄想性障害（F2）〕&amp;〔寛解・院内寛解群〕</t>
    <rPh sb="14" eb="19">
      <t>トウゴウシッチョウショウ</t>
    </rPh>
    <rPh sb="20" eb="25">
      <t>トウゴウシッチョウショウ</t>
    </rPh>
    <rPh sb="25" eb="26">
      <t>ガタ</t>
    </rPh>
    <rPh sb="26" eb="28">
      <t>ショウガイ</t>
    </rPh>
    <rPh sb="28" eb="29">
      <t>オヨ</t>
    </rPh>
    <rPh sb="30" eb="33">
      <t>モウソウセイ</t>
    </rPh>
    <rPh sb="33" eb="35">
      <t>ショウガイ</t>
    </rPh>
    <phoneticPr fontId="2"/>
  </si>
  <si>
    <t>気分（感情）障害（F3）</t>
    <phoneticPr fontId="2"/>
  </si>
  <si>
    <t>【退院阻害要因×年齢階層】</t>
    <rPh sb="1" eb="3">
      <t>タイイン</t>
    </rPh>
    <rPh sb="3" eb="5">
      <t>ソガイ</t>
    </rPh>
    <rPh sb="5" eb="7">
      <t>ヨウイン</t>
    </rPh>
    <rPh sb="8" eb="10">
      <t>ネンレイ</t>
    </rPh>
    <rPh sb="10" eb="12">
      <t>カイソウ</t>
    </rPh>
    <phoneticPr fontId="2"/>
  </si>
  <si>
    <t>【退院阻害要因×在院期間区分】</t>
    <rPh sb="1" eb="3">
      <t>タイイン</t>
    </rPh>
    <rPh sb="3" eb="5">
      <t>ソガイ</t>
    </rPh>
    <rPh sb="5" eb="7">
      <t>ヨウイン</t>
    </rPh>
    <rPh sb="8" eb="10">
      <t>ザイイン</t>
    </rPh>
    <rPh sb="10" eb="12">
      <t>キカン</t>
    </rPh>
    <rPh sb="12" eb="14">
      <t>クブン</t>
    </rPh>
    <phoneticPr fontId="2"/>
  </si>
  <si>
    <t>【退院阻害要因×在院期間区分】〔寛解・院内寛解群〕</t>
    <rPh sb="16" eb="18">
      <t>カンカイ</t>
    </rPh>
    <rPh sb="19" eb="21">
      <t>インナイ</t>
    </rPh>
    <rPh sb="21" eb="23">
      <t>カンカイ</t>
    </rPh>
    <rPh sb="23" eb="24">
      <t>グン</t>
    </rPh>
    <phoneticPr fontId="2"/>
  </si>
  <si>
    <t>【退院阻害要因×疾患名区分（F0,F2,F3）】</t>
    <rPh sb="1" eb="3">
      <t>タイイン</t>
    </rPh>
    <rPh sb="3" eb="5">
      <t>ソガイ</t>
    </rPh>
    <rPh sb="5" eb="7">
      <t>ヨウイン</t>
    </rPh>
    <rPh sb="8" eb="10">
      <t>シッカン</t>
    </rPh>
    <rPh sb="10" eb="11">
      <t>メイ</t>
    </rPh>
    <rPh sb="11" eb="13">
      <t>クブン</t>
    </rPh>
    <phoneticPr fontId="2"/>
  </si>
  <si>
    <t>疾患名区分</t>
    <rPh sb="0" eb="2">
      <t>シッカン</t>
    </rPh>
    <rPh sb="2" eb="3">
      <t>メイ</t>
    </rPh>
    <rPh sb="3" eb="5">
      <t>クブン</t>
    </rPh>
    <phoneticPr fontId="2"/>
  </si>
  <si>
    <t>【退院阻害要因×疾患名区分（F0,F2,F3）】〔寛解・院内寛解群〕</t>
    <rPh sb="25" eb="27">
      <t>カンカイ</t>
    </rPh>
    <rPh sb="28" eb="30">
      <t>インナイ</t>
    </rPh>
    <rPh sb="30" eb="32">
      <t>カンカイ</t>
    </rPh>
    <rPh sb="32" eb="33">
      <t>グン</t>
    </rPh>
    <phoneticPr fontId="2"/>
  </si>
  <si>
    <t>心理的発達の障害（F8）</t>
    <phoneticPr fontId="2"/>
  </si>
  <si>
    <t>【年齢区分（在院期間１年以上）】</t>
    <rPh sb="6" eb="8">
      <t>ザイイン</t>
    </rPh>
    <rPh sb="8" eb="10">
      <t>キカン</t>
    </rPh>
    <rPh sb="11" eb="12">
      <t>ネン</t>
    </rPh>
    <rPh sb="12" eb="14">
      <t>イジョウ</t>
    </rPh>
    <phoneticPr fontId="2"/>
  </si>
  <si>
    <t>【退院阻害要因の有無（在院期間１年以上）】</t>
    <phoneticPr fontId="2"/>
  </si>
  <si>
    <t>【退院阻害要因（複数回答）（在院期間１年以上）】</t>
    <phoneticPr fontId="2"/>
  </si>
  <si>
    <t>【退院阻害要因×年齢階層】〔寛解・院内寛解群〕</t>
    <rPh sb="14" eb="16">
      <t>カンカイ</t>
    </rPh>
    <rPh sb="17" eb="19">
      <t>インナイ</t>
    </rPh>
    <rPh sb="19" eb="21">
      <t>カンカイ</t>
    </rPh>
    <rPh sb="21" eb="22">
      <t>グン</t>
    </rPh>
    <phoneticPr fontId="2"/>
  </si>
  <si>
    <t>65歳以上</t>
    <rPh sb="2" eb="5">
      <t>サイイジョウ</t>
    </rPh>
    <phoneticPr fontId="2"/>
  </si>
  <si>
    <t>65歳以上（再掲）</t>
    <rPh sb="2" eb="3">
      <t>サイ</t>
    </rPh>
    <rPh sb="3" eb="5">
      <t>イジョウ</t>
    </rPh>
    <rPh sb="6" eb="8">
      <t>サイケイ</t>
    </rPh>
    <phoneticPr fontId="2"/>
  </si>
  <si>
    <t>65歳未満（再掲）</t>
    <rPh sb="2" eb="3">
      <t>サイ</t>
    </rPh>
    <rPh sb="3" eb="5">
      <t>ミマン</t>
    </rPh>
    <rPh sb="6" eb="8">
      <t>サイケイ</t>
    </rPh>
    <phoneticPr fontId="2"/>
  </si>
  <si>
    <t>65歳以上（再掲）</t>
    <rPh sb="2" eb="5">
      <t>サイイジョウ</t>
    </rPh>
    <rPh sb="6" eb="8">
      <t>サイケイ</t>
    </rPh>
    <phoneticPr fontId="2"/>
  </si>
  <si>
    <t>65歳未満（再掲）</t>
    <rPh sb="2" eb="5">
      <t>サイミマン</t>
    </rPh>
    <rPh sb="6" eb="8">
      <t>サイケイ</t>
    </rPh>
    <phoneticPr fontId="2"/>
  </si>
  <si>
    <t>65歳未満（再掲）</t>
    <rPh sb="3" eb="5">
      <t>ミマン</t>
    </rPh>
    <rPh sb="6" eb="8">
      <t>サイケイ</t>
    </rPh>
    <phoneticPr fontId="2"/>
  </si>
  <si>
    <t>65歳～69歳</t>
    <rPh sb="2" eb="3">
      <t>サイ</t>
    </rPh>
    <rPh sb="6" eb="7">
      <t>サイ</t>
    </rPh>
    <phoneticPr fontId="2"/>
  </si>
  <si>
    <t>70歳～74歳</t>
    <rPh sb="2" eb="3">
      <t>サイ</t>
    </rPh>
    <rPh sb="6" eb="7">
      <t>サイ</t>
    </rPh>
    <phoneticPr fontId="2"/>
  </si>
  <si>
    <t>75歳～79歳</t>
    <rPh sb="2" eb="3">
      <t>サイ</t>
    </rPh>
    <rPh sb="6" eb="7">
      <t>サイ</t>
    </rPh>
    <phoneticPr fontId="2"/>
  </si>
  <si>
    <t>80歳～84歳</t>
    <rPh sb="2" eb="3">
      <t>サイ</t>
    </rPh>
    <rPh sb="6" eb="7">
      <t>サイ</t>
    </rPh>
    <phoneticPr fontId="2"/>
  </si>
  <si>
    <t>85歳～89歳</t>
    <rPh sb="2" eb="3">
      <t>サイ</t>
    </rPh>
    <rPh sb="6" eb="7">
      <t>サイ</t>
    </rPh>
    <phoneticPr fontId="2"/>
  </si>
  <si>
    <t>措置入院・緊急措置入院</t>
    <rPh sb="0" eb="2">
      <t>ソチ</t>
    </rPh>
    <rPh sb="2" eb="4">
      <t>ニュウイン</t>
    </rPh>
    <rPh sb="5" eb="7">
      <t>キンキュウ</t>
    </rPh>
    <rPh sb="7" eb="9">
      <t>ソチ</t>
    </rPh>
    <rPh sb="9" eb="11">
      <t>ニュウイン</t>
    </rPh>
    <phoneticPr fontId="2"/>
  </si>
  <si>
    <t>医療保護入院</t>
    <rPh sb="0" eb="2">
      <t>イリョウ</t>
    </rPh>
    <rPh sb="2" eb="4">
      <t>ホゴ</t>
    </rPh>
    <rPh sb="4" eb="6">
      <t>ニュウイン</t>
    </rPh>
    <phoneticPr fontId="2"/>
  </si>
  <si>
    <t>任意入院</t>
    <rPh sb="0" eb="2">
      <t>ニンイ</t>
    </rPh>
    <rPh sb="2" eb="4">
      <t>ニュウイン</t>
    </rPh>
    <phoneticPr fontId="2"/>
  </si>
  <si>
    <t>応急入院</t>
    <rPh sb="0" eb="2">
      <t>オウキュウ</t>
    </rPh>
    <rPh sb="2" eb="4">
      <t>ニュウイン</t>
    </rPh>
    <phoneticPr fontId="2"/>
  </si>
  <si>
    <t>その他</t>
    <rPh sb="2" eb="3">
      <t>タ</t>
    </rPh>
    <phoneticPr fontId="2"/>
  </si>
  <si>
    <t>うち寛解・院内寛解群</t>
    <rPh sb="2" eb="4">
      <t>カンカイ</t>
    </rPh>
    <rPh sb="5" eb="7">
      <t>インナイ</t>
    </rPh>
    <rPh sb="7" eb="9">
      <t>カンカイ</t>
    </rPh>
    <rPh sb="9" eb="10">
      <t>グン</t>
    </rPh>
    <phoneticPr fontId="2"/>
  </si>
  <si>
    <t>(再掲：患者全体)</t>
    <rPh sb="1" eb="3">
      <t>サイケイ</t>
    </rPh>
    <rPh sb="4" eb="6">
      <t>カンジャ</t>
    </rPh>
    <rPh sb="6" eb="8">
      <t>ゼンタイ</t>
    </rPh>
    <phoneticPr fontId="2"/>
  </si>
  <si>
    <t>血管性認知症を含む器質性精神障害（F01）</t>
    <phoneticPr fontId="2"/>
  </si>
  <si>
    <t>神経症性障害、ストレス関連障害及び身体表現性障害（F4）</t>
    <phoneticPr fontId="2"/>
  </si>
  <si>
    <t>生理的障害及び身体的要因に関連した行動症候群（F5）</t>
    <phoneticPr fontId="2"/>
  </si>
  <si>
    <t>65歳以上全体</t>
    <rPh sb="2" eb="5">
      <t>サイイジョウ</t>
    </rPh>
    <rPh sb="5" eb="7">
      <t>ゼンタイ</t>
    </rPh>
    <phoneticPr fontId="2"/>
  </si>
  <si>
    <t xml:space="preserve">退院阻害要因がある  </t>
    <rPh sb="0" eb="2">
      <t>タイイン</t>
    </rPh>
    <rPh sb="2" eb="4">
      <t>ソガイ</t>
    </rPh>
    <rPh sb="4" eb="6">
      <t>ヨウイン</t>
    </rPh>
    <phoneticPr fontId="2"/>
  </si>
  <si>
    <t>退院阻害要因はない</t>
    <phoneticPr fontId="2"/>
  </si>
  <si>
    <t>【年齢区分】</t>
    <phoneticPr fontId="2"/>
  </si>
  <si>
    <t>〔寛解・院内寛解群〕</t>
    <phoneticPr fontId="2"/>
  </si>
  <si>
    <t>寛解</t>
    <phoneticPr fontId="2"/>
  </si>
  <si>
    <t>寛解</t>
    <phoneticPr fontId="2"/>
  </si>
  <si>
    <t>院内寛解</t>
    <phoneticPr fontId="2"/>
  </si>
  <si>
    <t>院内寛解</t>
    <phoneticPr fontId="2"/>
  </si>
  <si>
    <t>【入院形態区分】</t>
    <phoneticPr fontId="2"/>
  </si>
  <si>
    <t>【疾患名区分】</t>
    <phoneticPr fontId="2"/>
  </si>
  <si>
    <t>症状性を含む器質性精神障害（F0）</t>
    <phoneticPr fontId="2"/>
  </si>
  <si>
    <t>アルツハイマー病の認知症を含む器質性精神障害（F00）</t>
    <phoneticPr fontId="2"/>
  </si>
  <si>
    <t>血管性認知症を含む器質性精神障害（F01）</t>
    <phoneticPr fontId="2"/>
  </si>
  <si>
    <t>てんかん（症状性を含む器質性障害(F0)に属さないもの）</t>
    <phoneticPr fontId="2"/>
  </si>
  <si>
    <t>【在院期間区分】</t>
    <phoneticPr fontId="2"/>
  </si>
  <si>
    <t>〔寛解・院内寛解群〕</t>
    <phoneticPr fontId="2"/>
  </si>
  <si>
    <t>寛解</t>
    <phoneticPr fontId="2"/>
  </si>
  <si>
    <t>院内寛解</t>
    <phoneticPr fontId="2"/>
  </si>
  <si>
    <t>1ヶ月未満</t>
    <phoneticPr fontId="2"/>
  </si>
  <si>
    <t>1ヶ月～3ヶ月未満</t>
    <phoneticPr fontId="2"/>
  </si>
  <si>
    <t>1ヶ月～3ヶ月未満</t>
    <phoneticPr fontId="2"/>
  </si>
  <si>
    <t>3ヶ月～6ヶ月未満</t>
    <phoneticPr fontId="2"/>
  </si>
  <si>
    <t>6ヶ月～1年未満</t>
    <phoneticPr fontId="2"/>
  </si>
  <si>
    <t>1年～1年6ヶ月未満</t>
    <phoneticPr fontId="2"/>
  </si>
  <si>
    <t>1年6ヶ月～2年未満</t>
    <phoneticPr fontId="2"/>
  </si>
  <si>
    <t>2年～3年未満</t>
    <phoneticPr fontId="2"/>
  </si>
  <si>
    <t>4年～5年未満</t>
    <phoneticPr fontId="2"/>
  </si>
  <si>
    <t>5年～6年未満</t>
    <phoneticPr fontId="2"/>
  </si>
  <si>
    <t>6年～7年未満</t>
    <phoneticPr fontId="2"/>
  </si>
  <si>
    <t>7年～8年未満</t>
    <phoneticPr fontId="2"/>
  </si>
  <si>
    <t>8年～9年未満</t>
    <phoneticPr fontId="2"/>
  </si>
  <si>
    <t>9年～10年未満</t>
    <phoneticPr fontId="2"/>
  </si>
  <si>
    <t>10年～20年未満</t>
    <phoneticPr fontId="2"/>
  </si>
  <si>
    <t>20年以上</t>
    <phoneticPr fontId="2"/>
  </si>
  <si>
    <t>【状態像区分】</t>
    <phoneticPr fontId="2"/>
  </si>
  <si>
    <t>病識がなく通院服薬の中断が予測される</t>
    <phoneticPr fontId="2"/>
  </si>
  <si>
    <t>〔寛解・院内寛解群〕</t>
    <phoneticPr fontId="2"/>
  </si>
  <si>
    <t>寛解</t>
    <phoneticPr fontId="2"/>
  </si>
  <si>
    <t>院内寛解</t>
    <phoneticPr fontId="2"/>
  </si>
  <si>
    <t>【入院形態区分（在院期間１年以上）】</t>
    <phoneticPr fontId="2"/>
  </si>
  <si>
    <t>〔寛解・院内寛解群〕</t>
    <phoneticPr fontId="2"/>
  </si>
  <si>
    <t>寛解</t>
    <phoneticPr fontId="2"/>
  </si>
  <si>
    <t>院内寛解</t>
    <phoneticPr fontId="2"/>
  </si>
  <si>
    <t>【疾患名区分（在院期間１年以上）】</t>
    <phoneticPr fontId="2"/>
  </si>
  <si>
    <t>〔寛解・院内寛解群〕</t>
    <phoneticPr fontId="2"/>
  </si>
  <si>
    <t>【状態像区分（在院期間１年以上）】</t>
    <phoneticPr fontId="2"/>
  </si>
  <si>
    <t>65歳未満</t>
    <rPh sb="2" eb="3">
      <t>サイ</t>
    </rPh>
    <rPh sb="3" eb="5">
      <t>ミマン</t>
    </rPh>
    <phoneticPr fontId="2"/>
  </si>
  <si>
    <t>【年齢階層×在院期間区分】〔気分（感情）障害（F３）〕</t>
    <rPh sb="14" eb="16">
      <t>キブン</t>
    </rPh>
    <rPh sb="17" eb="19">
      <t>カンジョウ</t>
    </rPh>
    <rPh sb="20" eb="22">
      <t>ショウガイ</t>
    </rPh>
    <phoneticPr fontId="2"/>
  </si>
  <si>
    <t>【年齢階層×在院期間区分】〔気分（感情）障害（Ｆ３）〕&amp;〔寛解・院内寛解群〕</t>
    <rPh sb="14" eb="16">
      <t>キブン</t>
    </rPh>
    <rPh sb="17" eb="19">
      <t>カンジョウ</t>
    </rPh>
    <rPh sb="20" eb="21">
      <t>ショウ</t>
    </rPh>
    <rPh sb="21" eb="22">
      <t>ガイ</t>
    </rPh>
    <phoneticPr fontId="2"/>
  </si>
  <si>
    <t>病識がなく通院服薬の中断が予測される</t>
    <phoneticPr fontId="2"/>
  </si>
  <si>
    <t>　総計</t>
    <rPh sb="1" eb="2">
      <t>ソウ</t>
    </rPh>
    <rPh sb="2" eb="3">
      <t>ケイ</t>
    </rPh>
    <phoneticPr fontId="2"/>
  </si>
  <si>
    <t>　総計</t>
    <rPh sb="1" eb="3">
      <t>ソウケイ</t>
    </rPh>
    <phoneticPr fontId="2"/>
  </si>
  <si>
    <t>90歳～</t>
    <rPh sb="2" eb="3">
      <t>サイ</t>
    </rPh>
    <phoneticPr fontId="2"/>
  </si>
  <si>
    <t>【年齢階層×在院期間区分】〔アルツハイマー病型認知症及び血管性認知症（F00-F01）〕</t>
    <rPh sb="21" eb="22">
      <t>ビョウ</t>
    </rPh>
    <rPh sb="22" eb="23">
      <t>ガタ</t>
    </rPh>
    <rPh sb="23" eb="26">
      <t>ニンチショウ</t>
    </rPh>
    <rPh sb="26" eb="27">
      <t>オヨ</t>
    </rPh>
    <phoneticPr fontId="2"/>
  </si>
  <si>
    <t>【年齢階層×在院期間区分】〔アルツハイマー病型認知症及び血管性認知症（F00-F01）〕&amp;〔寛解・院内寛解群〕</t>
    <phoneticPr fontId="2"/>
  </si>
  <si>
    <t>【年齢階層×在院期間区分】</t>
    <phoneticPr fontId="2"/>
  </si>
  <si>
    <t>合計 / 反社会的行動が予測される</t>
  </si>
  <si>
    <t>合計 / 退院意欲が乏しい</t>
  </si>
  <si>
    <t>合計 / 現実認識が乏しい</t>
  </si>
  <si>
    <t>合計 / 退院による環境変化への不安が強い</t>
  </si>
  <si>
    <t>合計 / 援助者との対人関係がもてない</t>
  </si>
  <si>
    <t>合計 / 家事（食事,洗濯,金銭管理など）ができない</t>
  </si>
  <si>
    <t>合計 / 家族がいない、本人をサポートする機能が実質ない</t>
  </si>
  <si>
    <t>合計 / 家族から退院に反対がある</t>
  </si>
  <si>
    <t>合計 / 住まいの確保ができない</t>
  </si>
  <si>
    <t>合計 / 生活費の確保ができない</t>
  </si>
  <si>
    <t>合計 / 日常生活を支える制度がない</t>
  </si>
  <si>
    <t>合計 / 救急診療体制がない</t>
  </si>
  <si>
    <t>合計 / 退院に向けてサポートする人的資源が乏しい</t>
  </si>
  <si>
    <t>合計 / 退院後サポート・マネジメントする人的資源が乏しい</t>
  </si>
  <si>
    <t>合計 / 住所地と入院先の距離があり支援体制をとりにくい</t>
  </si>
  <si>
    <t>合計 / その他の退院阻害要因がある</t>
  </si>
  <si>
    <t>01_1ヶ月未満</t>
  </si>
  <si>
    <t>02_1ヶ月～3ヶ月未満</t>
  </si>
  <si>
    <t>03_3ヶ月～6ヶ月未満</t>
  </si>
  <si>
    <t>04_6ヶ月～1年未満</t>
  </si>
  <si>
    <t>05_1年～1年6ヶ月未満</t>
  </si>
  <si>
    <t>06_1年6ヶ月～2年未満</t>
  </si>
  <si>
    <t>07_2年～3年未満</t>
  </si>
  <si>
    <t>08_3年～4年未満</t>
  </si>
  <si>
    <t>09_4年～5年未満</t>
  </si>
  <si>
    <t>10_5年～6年未満</t>
  </si>
  <si>
    <t>11_6年～7年未満</t>
  </si>
  <si>
    <t>12_7年～8年未満</t>
  </si>
  <si>
    <t>13_8年～9年未満</t>
  </si>
  <si>
    <t>14_9年～10年未満</t>
  </si>
  <si>
    <t>15_10年～20年未満</t>
  </si>
  <si>
    <t>16_ 20年以上</t>
  </si>
  <si>
    <t>アルツハイマー病型認知症及び血管性認知症（F00-F01）</t>
    <phoneticPr fontId="2"/>
  </si>
  <si>
    <t>左記以外の症状性を含む器質性精神障害（F02-F09）</t>
    <rPh sb="0" eb="2">
      <t>サキ</t>
    </rPh>
    <phoneticPr fontId="2"/>
  </si>
  <si>
    <t>アルコール覚せい剤を除く精神作用物質使用による精神及び行動の障害※</t>
  </si>
  <si>
    <t>覚せい剤による精神及び行動の障害※</t>
  </si>
  <si>
    <t>75歳未満（再掲）</t>
    <rPh sb="2" eb="3">
      <t>サイ</t>
    </rPh>
    <rPh sb="3" eb="5">
      <t>ミマン</t>
    </rPh>
    <rPh sb="6" eb="8">
      <t>サイケイ</t>
    </rPh>
    <phoneticPr fontId="2"/>
  </si>
  <si>
    <t>75歳以上（再掲）</t>
    <rPh sb="2" eb="3">
      <t>サイ</t>
    </rPh>
    <rPh sb="3" eb="5">
      <t>イジョウ</t>
    </rPh>
    <rPh sb="6" eb="8">
      <t>サイケイ</t>
    </rPh>
    <phoneticPr fontId="2"/>
  </si>
  <si>
    <t>【年齢区分（65歳以上在院患者）】</t>
    <rPh sb="8" eb="11">
      <t>サイイジョウ</t>
    </rPh>
    <rPh sb="11" eb="13">
      <t>ザイイン</t>
    </rPh>
    <rPh sb="13" eb="15">
      <t>カンジャ</t>
    </rPh>
    <phoneticPr fontId="2"/>
  </si>
  <si>
    <t>【入院形態区分（65歳以上在院患者）】</t>
    <rPh sb="1" eb="3">
      <t>ニュウイン</t>
    </rPh>
    <rPh sb="3" eb="5">
      <t>ケイタイ</t>
    </rPh>
    <rPh sb="10" eb="13">
      <t>サイイジョウ</t>
    </rPh>
    <rPh sb="13" eb="15">
      <t>ザイイン</t>
    </rPh>
    <rPh sb="15" eb="17">
      <t>カンジャ</t>
    </rPh>
    <phoneticPr fontId="2"/>
  </si>
  <si>
    <t>【在院期間区分（65歳以上在院患者）】</t>
    <rPh sb="1" eb="3">
      <t>ザイイン</t>
    </rPh>
    <rPh sb="3" eb="5">
      <t>キカン</t>
    </rPh>
    <rPh sb="5" eb="7">
      <t>クブン</t>
    </rPh>
    <rPh sb="10" eb="13">
      <t>サイイジョウ</t>
    </rPh>
    <rPh sb="13" eb="15">
      <t>ザイイン</t>
    </rPh>
    <rPh sb="15" eb="17">
      <t>カンジャ</t>
    </rPh>
    <phoneticPr fontId="2"/>
  </si>
  <si>
    <t>1ヶ月～3ヶ月未満</t>
  </si>
  <si>
    <t>3ヶ月～6ヶ月未満</t>
  </si>
  <si>
    <t>6ヶ月～1年未満</t>
  </si>
  <si>
    <t>1年～1年6ヶ月未満</t>
  </si>
  <si>
    <t>1年6ヶ月～2年未満</t>
  </si>
  <si>
    <t>2年～3年未満</t>
  </si>
  <si>
    <t>3年～4年未満</t>
  </si>
  <si>
    <t>4年～5年未満</t>
  </si>
  <si>
    <t>5年～6年未満</t>
  </si>
  <si>
    <t>6年～7年未満</t>
  </si>
  <si>
    <t>7年～8年未満</t>
  </si>
  <si>
    <t>8年～9年未満</t>
  </si>
  <si>
    <t>9年～10年未満</t>
  </si>
  <si>
    <t>10年～20年未満</t>
  </si>
  <si>
    <t>【状態像区分（65歳以上在院患者）】</t>
    <rPh sb="1" eb="3">
      <t>ジョウタイ</t>
    </rPh>
    <rPh sb="3" eb="4">
      <t>ゾウ</t>
    </rPh>
    <rPh sb="4" eb="6">
      <t>クブン</t>
    </rPh>
    <rPh sb="9" eb="12">
      <t>サイイジョウ</t>
    </rPh>
    <rPh sb="12" eb="14">
      <t>ザイイン</t>
    </rPh>
    <rPh sb="14" eb="16">
      <t>カンジャ</t>
    </rPh>
    <phoneticPr fontId="2"/>
  </si>
  <si>
    <t>〔全在院期間〕</t>
    <rPh sb="1" eb="2">
      <t>ゼン</t>
    </rPh>
    <rPh sb="2" eb="4">
      <t>ザイイン</t>
    </rPh>
    <rPh sb="4" eb="6">
      <t>キカン</t>
    </rPh>
    <phoneticPr fontId="2"/>
  </si>
  <si>
    <t>〔1年以上在院患者〕</t>
    <rPh sb="2" eb="5">
      <t>ネンイジョウ</t>
    </rPh>
    <rPh sb="5" eb="7">
      <t>ザイイン</t>
    </rPh>
    <rPh sb="7" eb="9">
      <t>カンジャ</t>
    </rPh>
    <phoneticPr fontId="2"/>
  </si>
  <si>
    <t>病識がなく通院服薬の中断が予測される</t>
  </si>
  <si>
    <t>人数</t>
  </si>
  <si>
    <t>割合</t>
  </si>
  <si>
    <t>〔寛解・院内寛解群〕</t>
    <phoneticPr fontId="2"/>
  </si>
  <si>
    <t>【疾患名区分（65歳以上在院患者）】</t>
    <rPh sb="1" eb="3">
      <t>シッカン</t>
    </rPh>
    <rPh sb="3" eb="4">
      <t>メイ</t>
    </rPh>
    <rPh sb="9" eb="12">
      <t>サイイジョウ</t>
    </rPh>
    <rPh sb="12" eb="14">
      <t>ザイイン</t>
    </rPh>
    <rPh sb="14" eb="16">
      <t>カンジャ</t>
    </rPh>
    <phoneticPr fontId="2"/>
  </si>
  <si>
    <t>〔アルツハイマー病型認知症・血管性認知症以外の症状性を含む器質性精神障害（F02-F09）〕&amp;〔寛解・院内寛解群〕</t>
    <rPh sb="8" eb="9">
      <t>ビョウ</t>
    </rPh>
    <rPh sb="9" eb="10">
      <t>ガタ</t>
    </rPh>
    <rPh sb="10" eb="13">
      <t>ニンチショウ</t>
    </rPh>
    <phoneticPr fontId="2"/>
  </si>
  <si>
    <t>【退院予定の有無】</t>
    <rPh sb="3" eb="5">
      <t>ヨテイ</t>
    </rPh>
    <phoneticPr fontId="2"/>
  </si>
  <si>
    <t>病状（主症状）が落ち着き、入院によらない形で治療ができるまで回復</t>
    <rPh sb="0" eb="2">
      <t>ビョウジョウ</t>
    </rPh>
    <rPh sb="3" eb="4">
      <t>シュ</t>
    </rPh>
    <rPh sb="4" eb="6">
      <t>ショウジョウ</t>
    </rPh>
    <rPh sb="8" eb="9">
      <t>オ</t>
    </rPh>
    <rPh sb="10" eb="11">
      <t>ツ</t>
    </rPh>
    <rPh sb="13" eb="15">
      <t>ニュウイン</t>
    </rPh>
    <rPh sb="20" eb="21">
      <t>カタチ</t>
    </rPh>
    <rPh sb="22" eb="24">
      <t>チリョウ</t>
    </rPh>
    <rPh sb="30" eb="32">
      <t>カイフク</t>
    </rPh>
    <phoneticPr fontId="2"/>
  </si>
  <si>
    <t>病状（主症状）が不安定で入院による治療が必要</t>
    <rPh sb="0" eb="2">
      <t>ビョウジョウ</t>
    </rPh>
    <rPh sb="8" eb="11">
      <t>フアンテイ</t>
    </rPh>
    <rPh sb="12" eb="14">
      <t>ニュウイン</t>
    </rPh>
    <rPh sb="17" eb="19">
      <t>チリョウ</t>
    </rPh>
    <rPh sb="20" eb="22">
      <t>ヒツヨウ</t>
    </rPh>
    <phoneticPr fontId="2"/>
  </si>
  <si>
    <t>退院予定</t>
    <rPh sb="0" eb="2">
      <t>タイイン</t>
    </rPh>
    <rPh sb="2" eb="4">
      <t>ヨテイ</t>
    </rPh>
    <phoneticPr fontId="2"/>
  </si>
  <si>
    <t>病状は落ち着いているが、ときどき不安定な病状が見られ、そのことが退院を阻害する要因になっている</t>
    <rPh sb="0" eb="2">
      <t>ビョウジョウ</t>
    </rPh>
    <rPh sb="3" eb="4">
      <t>オ</t>
    </rPh>
    <rPh sb="5" eb="6">
      <t>ツ</t>
    </rPh>
    <rPh sb="16" eb="19">
      <t>フアンテイ</t>
    </rPh>
    <rPh sb="20" eb="22">
      <t>ビョウジョウ</t>
    </rPh>
    <rPh sb="23" eb="24">
      <t>ミ</t>
    </rPh>
    <rPh sb="32" eb="34">
      <t>タイイン</t>
    </rPh>
    <rPh sb="35" eb="37">
      <t>ソガイ</t>
    </rPh>
    <rPh sb="39" eb="41">
      <t>ヨウイン</t>
    </rPh>
    <phoneticPr fontId="2"/>
  </si>
  <si>
    <t>病状は落ち着いているが、ときどき不安定な病状が見られ、そのことが退院を阻害する要因になっている</t>
    <phoneticPr fontId="2"/>
  </si>
  <si>
    <t>【退院予定の有無（在院期間１年以上）】</t>
    <rPh sb="3" eb="5">
      <t>ヨテイ</t>
    </rPh>
    <phoneticPr fontId="2"/>
  </si>
  <si>
    <t>【退院予定の有無（65歳以上在院患者）】</t>
    <rPh sb="3" eb="5">
      <t>ヨテイ</t>
    </rPh>
    <rPh sb="11" eb="14">
      <t>サイイジョウ</t>
    </rPh>
    <rPh sb="14" eb="16">
      <t>ザイイン</t>
    </rPh>
    <rPh sb="16" eb="18">
      <t>カンジャ</t>
    </rPh>
    <phoneticPr fontId="2"/>
  </si>
  <si>
    <t>病状は落ち着いているが、ときどき不安定な病状が見られ、そのことが退院を阻害する要因になっている</t>
    <phoneticPr fontId="2"/>
  </si>
  <si>
    <t>退院阻害要因</t>
  </si>
  <si>
    <t>退院予定の有無</t>
    <rPh sb="0" eb="2">
      <t>タイイン</t>
    </rPh>
    <rPh sb="2" eb="4">
      <t>ヨテイ</t>
    </rPh>
    <rPh sb="5" eb="7">
      <t>ウム</t>
    </rPh>
    <phoneticPr fontId="2"/>
  </si>
  <si>
    <t>病状（主症状）が不安定で入院による治療が必要</t>
    <rPh sb="0" eb="2">
      <t>ビョウジョウ</t>
    </rPh>
    <rPh sb="3" eb="4">
      <t>シュ</t>
    </rPh>
    <rPh sb="4" eb="6">
      <t>ショウジョウ</t>
    </rPh>
    <rPh sb="8" eb="11">
      <t>フアンテイ</t>
    </rPh>
    <rPh sb="12" eb="14">
      <t>ニュウイン</t>
    </rPh>
    <rPh sb="17" eb="19">
      <t>チリョウ</t>
    </rPh>
    <rPh sb="20" eb="22">
      <t>ヒツヨウ</t>
    </rPh>
    <phoneticPr fontId="2"/>
  </si>
  <si>
    <t>退院阻害要因</t>
    <phoneticPr fontId="2"/>
  </si>
  <si>
    <t>病状は落ち着いているが、ときどき不安定な病状が見られ、そのことが退院を阻害する要因になっている</t>
    <phoneticPr fontId="2"/>
  </si>
  <si>
    <t>退院予定の有無</t>
    <phoneticPr fontId="2"/>
  </si>
  <si>
    <t>家族が退院に反対している</t>
    <rPh sb="3" eb="5">
      <t>タイイン</t>
    </rPh>
    <rPh sb="6" eb="8">
      <t>ハンタイ</t>
    </rPh>
    <phoneticPr fontId="2"/>
  </si>
  <si>
    <t>家族が退院に反対している</t>
    <phoneticPr fontId="2"/>
  </si>
  <si>
    <t>住所地と入院先の距離があり支援体制がとりにくい</t>
    <phoneticPr fontId="2"/>
  </si>
  <si>
    <t>家族が退院に反対している</t>
    <rPh sb="0" eb="2">
      <t>カゾク</t>
    </rPh>
    <rPh sb="3" eb="5">
      <t>タイイン</t>
    </rPh>
    <rPh sb="6" eb="8">
      <t>ハンタイ</t>
    </rPh>
    <phoneticPr fontId="2"/>
  </si>
  <si>
    <t>精神遅滞〔知的障害〕（F7）</t>
    <phoneticPr fontId="2"/>
  </si>
  <si>
    <t>病状は落ち着いているが、ときどき不安定な病状が見られ、そのことが退院を阻害する要因になっている</t>
    <phoneticPr fontId="2"/>
  </si>
  <si>
    <t>精神作用物質使用による精神及び行動の障害（F1）</t>
    <phoneticPr fontId="2"/>
  </si>
  <si>
    <t>統合失調症、統合失調症型障害及び妄想性障害（F2）</t>
    <phoneticPr fontId="2"/>
  </si>
  <si>
    <t>神経症性障害、ストレス関連障害及び身体表現性障害（F4）</t>
  </si>
  <si>
    <t>生理的障害及び身体的要因に関連した行動症候群（F5）</t>
  </si>
  <si>
    <t>精神遅滞〔知的障害〕（F7）</t>
  </si>
  <si>
    <t>成人のパーソナリティ及び行動の障害（F6)</t>
    <phoneticPr fontId="2"/>
  </si>
  <si>
    <t>精神遅滞〔知的障害〕（F7)</t>
    <phoneticPr fontId="2"/>
  </si>
  <si>
    <t>小児期及び青年期に通常発症する行動及び情緒の障害及び特定不能の精神障害（F9)</t>
    <phoneticPr fontId="2"/>
  </si>
  <si>
    <t>成人のパーソナリティ及び行動の障害（F6)</t>
  </si>
  <si>
    <t>小児期及び青年期に通常発症する行動及び情緒の障害及び特定不能の精神障害（F9)</t>
  </si>
  <si>
    <t>成人のパーソナリティ及び行動の障害（F6)</t>
    <phoneticPr fontId="2"/>
  </si>
  <si>
    <t>総計</t>
  </si>
  <si>
    <t>　＜複数回答＞</t>
    <rPh sb="2" eb="4">
      <t>フクスウ</t>
    </rPh>
    <rPh sb="4" eb="6">
      <t>カイトウ</t>
    </rPh>
    <phoneticPr fontId="2"/>
  </si>
  <si>
    <t>　＜複数回答＞</t>
    <phoneticPr fontId="2"/>
  </si>
  <si>
    <t>65歳以上</t>
    <rPh sb="2" eb="3">
      <t>サイ</t>
    </rPh>
    <rPh sb="3" eb="5">
      <t>イジョウ</t>
    </rPh>
    <phoneticPr fontId="2"/>
  </si>
  <si>
    <t>年齢</t>
    <rPh sb="0" eb="2">
      <t>ネンレイ</t>
    </rPh>
    <phoneticPr fontId="2"/>
  </si>
  <si>
    <t>65歳未満</t>
    <rPh sb="2" eb="5">
      <t>サイミマン</t>
    </rPh>
    <phoneticPr fontId="2"/>
  </si>
  <si>
    <t>症状性を含む器質性精神障害（F０）</t>
    <phoneticPr fontId="2"/>
  </si>
  <si>
    <t>アルツハイマー病の認知症を含む器質性精神障害（F00）</t>
    <phoneticPr fontId="2"/>
  </si>
  <si>
    <t>1年以上5年未満</t>
    <phoneticPr fontId="2"/>
  </si>
  <si>
    <t>5年以上10年未満</t>
    <phoneticPr fontId="2"/>
  </si>
  <si>
    <t>統合失調症、統合失調症型障害及び妄想性障害（F2）</t>
    <phoneticPr fontId="2"/>
  </si>
  <si>
    <t>割合には「退院阻害要因がある」それぞれの人数に対する割合を表示しています。</t>
    <rPh sb="0" eb="2">
      <t>ワリアイ</t>
    </rPh>
    <rPh sb="5" eb="7">
      <t>タイイン</t>
    </rPh>
    <rPh sb="7" eb="9">
      <t>ソガイ</t>
    </rPh>
    <rPh sb="9" eb="11">
      <t>ヨウイン</t>
    </rPh>
    <rPh sb="20" eb="22">
      <t>ニンズウ</t>
    </rPh>
    <rPh sb="23" eb="24">
      <t>タイ</t>
    </rPh>
    <rPh sb="26" eb="28">
      <t>ワリアイ</t>
    </rPh>
    <rPh sb="29" eb="31">
      <t>ヒョウジ</t>
    </rPh>
    <phoneticPr fontId="2"/>
  </si>
  <si>
    <t>割合には「退院阻害要因がある」それぞれの人数に対する割合を表示しています。</t>
    <phoneticPr fontId="2"/>
  </si>
  <si>
    <t>寛解・院内寛解</t>
    <rPh sb="0" eb="2">
      <t>カンカイ</t>
    </rPh>
    <rPh sb="3" eb="5">
      <t>インナイ</t>
    </rPh>
    <rPh sb="5" eb="7">
      <t>カンカイ</t>
    </rPh>
    <phoneticPr fontId="2"/>
  </si>
  <si>
    <t>寛解</t>
    <rPh sb="0" eb="2">
      <t>カンカイ</t>
    </rPh>
    <phoneticPr fontId="2"/>
  </si>
  <si>
    <t>院内寛解</t>
    <rPh sb="0" eb="2">
      <t>インナイ</t>
    </rPh>
    <rPh sb="2" eb="4">
      <t>カンカイ</t>
    </rPh>
    <phoneticPr fontId="2"/>
  </si>
  <si>
    <t>患者全体</t>
    <rPh sb="0" eb="2">
      <t>カンジャ</t>
    </rPh>
    <rPh sb="2" eb="4">
      <t>ゼンタイ</t>
    </rPh>
    <phoneticPr fontId="2"/>
  </si>
  <si>
    <t>合計</t>
    <rPh sb="0" eb="2">
      <t>ゴウケイ</t>
    </rPh>
    <phoneticPr fontId="2"/>
  </si>
  <si>
    <t>寛解・院内寛解群</t>
    <rPh sb="0" eb="2">
      <t>カンカイ</t>
    </rPh>
    <rPh sb="3" eb="5">
      <t>インナイ</t>
    </rPh>
    <rPh sb="5" eb="7">
      <t>カンカイ</t>
    </rPh>
    <rPh sb="7" eb="8">
      <t>グン</t>
    </rPh>
    <phoneticPr fontId="2"/>
  </si>
  <si>
    <t>入院形態</t>
    <rPh sb="0" eb="2">
      <t>ニュウイン</t>
    </rPh>
    <rPh sb="2" eb="4">
      <t>ケイタイ</t>
    </rPh>
    <phoneticPr fontId="2"/>
  </si>
  <si>
    <t>院内寛解</t>
    <rPh sb="0" eb="2">
      <t>インナイ</t>
    </rPh>
    <phoneticPr fontId="2"/>
  </si>
  <si>
    <t>疾患名</t>
    <rPh sb="0" eb="2">
      <t>シッカン</t>
    </rPh>
    <rPh sb="2" eb="3">
      <t>メイ</t>
    </rPh>
    <phoneticPr fontId="2"/>
  </si>
  <si>
    <t>F01血管性認知症</t>
  </si>
  <si>
    <t>F02-09上記以外の症状性を含む器質性精神障害</t>
  </si>
  <si>
    <t>F10アルコール使用による精神及び行動の障害</t>
  </si>
  <si>
    <t>F2統合失調症、統合失調症型障害及び妄想性障害</t>
  </si>
  <si>
    <t>F30‐31　躁病エピソード・双極性感情障害［躁うつ病］</t>
  </si>
  <si>
    <t>F32-39　その他の気分障害</t>
  </si>
  <si>
    <t>F4神経症性障害、ストレス関連障害及び身体表現性障害</t>
  </si>
  <si>
    <t>F5生理的障害及び身体的要因に関連した行動症候群</t>
  </si>
  <si>
    <t>F7精神遅滞〔知的障害〕</t>
  </si>
  <si>
    <t>F8心理的発達の障害</t>
  </si>
  <si>
    <t>てんかん（F0に属さないものを計上する）</t>
  </si>
  <si>
    <t>F00アルツハイマー病型認知症</t>
  </si>
  <si>
    <t>F6成人のパーソナリティ及び行動の障害</t>
  </si>
  <si>
    <t>F9小児期及び青年期に通常発症する行動及び情緒の障害及び特定不能の精神障害</t>
  </si>
  <si>
    <t>年齢区分</t>
    <rPh sb="0" eb="2">
      <t>ネンレイ</t>
    </rPh>
    <rPh sb="2" eb="4">
      <t>クブン</t>
    </rPh>
    <phoneticPr fontId="2"/>
  </si>
  <si>
    <t>在院期間</t>
    <rPh sb="0" eb="2">
      <t>ザイイン</t>
    </rPh>
    <rPh sb="2" eb="4">
      <t>キカン</t>
    </rPh>
    <phoneticPr fontId="2"/>
  </si>
  <si>
    <t>65-69歳</t>
  </si>
  <si>
    <t>70-74歳</t>
  </si>
  <si>
    <t>75-79歳</t>
  </si>
  <si>
    <t>80-84歳</t>
  </si>
  <si>
    <t>85-89歳</t>
  </si>
  <si>
    <t>寛解・院内寛解</t>
    <rPh sb="3" eb="7">
      <t>インナイカンカイ</t>
    </rPh>
    <phoneticPr fontId="2"/>
  </si>
  <si>
    <t>65歳未満</t>
  </si>
  <si>
    <t>65歳以上</t>
  </si>
  <si>
    <t>列1</t>
  </si>
  <si>
    <t>合計 / 病状は落ち着いているが、ときどき不安定な病状が見られ、そのことが退院を阻害する要因になっている</t>
  </si>
  <si>
    <t>合計 / 病識がなく通院服薬の中断が予測される</t>
  </si>
  <si>
    <t>〔アルツハイマー病型認知症・血管性認知症以外の症状性を含む器質性精神障害（F02-F09）〕</t>
  </si>
  <si>
    <t>アルコール覚せい剤を除く精神作用物質使用による精神及び行動の障害※</t>
    <phoneticPr fontId="2"/>
  </si>
  <si>
    <t>覚せい剤による精神及び行動の障害※</t>
    <phoneticPr fontId="2"/>
  </si>
  <si>
    <t>F1</t>
    <phoneticPr fontId="2"/>
  </si>
  <si>
    <t>F2</t>
  </si>
  <si>
    <t>F3</t>
  </si>
  <si>
    <t>F4</t>
  </si>
  <si>
    <t>F5</t>
  </si>
  <si>
    <t>F6</t>
  </si>
  <si>
    <t>F7</t>
  </si>
  <si>
    <t>F8</t>
  </si>
  <si>
    <t>F9</t>
  </si>
  <si>
    <t>てんかん</t>
    <phoneticPr fontId="2"/>
  </si>
  <si>
    <t>その他</t>
    <rPh sb="2" eb="3">
      <t>タ</t>
    </rPh>
    <phoneticPr fontId="2"/>
  </si>
  <si>
    <t>F0</t>
    <phoneticPr fontId="2"/>
  </si>
  <si>
    <t>1年以上5年未満</t>
    <rPh sb="2" eb="4">
      <t>イジョウ</t>
    </rPh>
    <phoneticPr fontId="2"/>
  </si>
  <si>
    <t>5年以上10年未満</t>
    <rPh sb="1" eb="2">
      <t>ネン</t>
    </rPh>
    <rPh sb="2" eb="4">
      <t>イジョウ</t>
    </rPh>
    <phoneticPr fontId="2"/>
  </si>
  <si>
    <t>寛解・院内寛解群</t>
    <rPh sb="0" eb="2">
      <t>カンカイ</t>
    </rPh>
    <rPh sb="3" eb="8">
      <t>インナイカンカイグン</t>
    </rPh>
    <phoneticPr fontId="2"/>
  </si>
  <si>
    <t>【在院期間　※自動入力】</t>
    <rPh sb="1" eb="3">
      <t>ザイイン</t>
    </rPh>
    <rPh sb="3" eb="5">
      <t>キカン</t>
    </rPh>
    <rPh sb="7" eb="9">
      <t>ジドウ</t>
    </rPh>
    <rPh sb="9" eb="11">
      <t>ニュウリョク</t>
    </rPh>
    <phoneticPr fontId="2"/>
  </si>
  <si>
    <t>全在院患者</t>
    <rPh sb="0" eb="1">
      <t>ゼン</t>
    </rPh>
    <rPh sb="1" eb="3">
      <t>ザイイン</t>
    </rPh>
    <rPh sb="3" eb="5">
      <t>カンジャ</t>
    </rPh>
    <phoneticPr fontId="2"/>
  </si>
  <si>
    <t>在院1年以上寛解・院内寛解群</t>
  </si>
  <si>
    <t>病状は落ち着いているが、ときどき不安定な病状が見られ、そのことが退院を阻害する要因になっている</t>
    <rPh sb="0" eb="2">
      <t>ビョウジョウ</t>
    </rPh>
    <rPh sb="3" eb="4">
      <t>オ</t>
    </rPh>
    <rPh sb="5" eb="6">
      <t>ツ</t>
    </rPh>
    <rPh sb="16" eb="19">
      <t>フアンテイ</t>
    </rPh>
    <rPh sb="20" eb="22">
      <t>ビョウジョウ</t>
    </rPh>
    <rPh sb="23" eb="24">
      <t>ミ</t>
    </rPh>
    <rPh sb="32" eb="34">
      <t>タイイン</t>
    </rPh>
    <rPh sb="35" eb="37">
      <t>ソガイ</t>
    </rPh>
    <rPh sb="39" eb="41">
      <t>ヨウイン</t>
    </rPh>
    <phoneticPr fontId="23"/>
  </si>
  <si>
    <t>退院による環境変化への不安が強い</t>
    <phoneticPr fontId="2"/>
  </si>
  <si>
    <t>家事（食事・洗濯・金銭管理など）ができない</t>
    <phoneticPr fontId="2"/>
  </si>
  <si>
    <t>家族がいない、本人をサポートする機能が実質ない</t>
    <phoneticPr fontId="2"/>
  </si>
  <si>
    <t>家族が退院に反対している</t>
    <rPh sb="3" eb="5">
      <t>タイイン</t>
    </rPh>
    <rPh sb="6" eb="8">
      <t>ハンタイ</t>
    </rPh>
    <phoneticPr fontId="23"/>
  </si>
  <si>
    <t>住所地と入院先の距離があり支援体制がとりにくい</t>
  </si>
  <si>
    <t>病状（主症状）が落ち着き、入院によらない形で治療ができる程度まで回復</t>
    <phoneticPr fontId="2"/>
  </si>
  <si>
    <t>病状（主症状）が不安定で入院による治療が必要</t>
  </si>
  <si>
    <t>退院阻害要因がない</t>
    <rPh sb="0" eb="2">
      <t>タイイン</t>
    </rPh>
    <rPh sb="2" eb="4">
      <t>ソガイ</t>
    </rPh>
    <rPh sb="4" eb="6">
      <t>ヨウイン</t>
    </rPh>
    <phoneticPr fontId="2"/>
  </si>
  <si>
    <t>阻害要因　TOP5</t>
    <rPh sb="0" eb="2">
      <t>ソガイ</t>
    </rPh>
    <rPh sb="2" eb="4">
      <t>ヨウイン</t>
    </rPh>
    <phoneticPr fontId="2"/>
  </si>
  <si>
    <t>LANK</t>
    <phoneticPr fontId="2"/>
  </si>
  <si>
    <t>病状（主症状）が不安定で入院による治療が必要</t>
    <phoneticPr fontId="2"/>
  </si>
  <si>
    <t>退院予定</t>
    <phoneticPr fontId="2"/>
  </si>
  <si>
    <t>退院予定の有無</t>
    <rPh sb="2" eb="4">
      <t>ヨテイ</t>
    </rPh>
    <rPh sb="5" eb="7">
      <t>ウム</t>
    </rPh>
    <phoneticPr fontId="2"/>
  </si>
  <si>
    <t>退院阻害要因の有無</t>
    <rPh sb="0" eb="2">
      <t>タイイン</t>
    </rPh>
    <rPh sb="2" eb="4">
      <t>ソガイ</t>
    </rPh>
    <rPh sb="4" eb="6">
      <t>ヨウイン</t>
    </rPh>
    <rPh sb="7" eb="9">
      <t>ウム</t>
    </rPh>
    <phoneticPr fontId="2"/>
  </si>
  <si>
    <t>退院阻害要因の有無2</t>
    <rPh sb="0" eb="6">
      <t>タイインソガイヨウイン</t>
    </rPh>
    <rPh sb="7" eb="9">
      <t>ウム</t>
    </rPh>
    <phoneticPr fontId="2"/>
  </si>
  <si>
    <t>【退院予定及び阻害要因　※自動入力】</t>
    <rPh sb="1" eb="3">
      <t>タイイン</t>
    </rPh>
    <rPh sb="3" eb="5">
      <t>ヨテイ</t>
    </rPh>
    <rPh sb="5" eb="6">
      <t>オヨ</t>
    </rPh>
    <rPh sb="7" eb="9">
      <t>ソガイ</t>
    </rPh>
    <rPh sb="9" eb="11">
      <t>ヨウイン</t>
    </rPh>
    <rPh sb="13" eb="15">
      <t>ジドウ</t>
    </rPh>
    <rPh sb="15" eb="17">
      <t>ニュウリョク</t>
    </rPh>
    <phoneticPr fontId="2"/>
  </si>
  <si>
    <t>全体</t>
    <rPh sb="0" eb="2">
      <t>ゼンタイ</t>
    </rPh>
    <phoneticPr fontId="2"/>
  </si>
  <si>
    <t>寛解院内寛解</t>
    <rPh sb="0" eb="6">
      <t>カンカイインナイカンカイ</t>
    </rPh>
    <phoneticPr fontId="2"/>
  </si>
  <si>
    <t>寛解院内寛解合計</t>
    <rPh sb="0" eb="2">
      <t>カンカイ</t>
    </rPh>
    <rPh sb="2" eb="4">
      <t>インナイ</t>
    </rPh>
    <rPh sb="4" eb="6">
      <t>カンカイ</t>
    </rPh>
    <rPh sb="6" eb="8">
      <t>ゴウケイ</t>
    </rPh>
    <phoneticPr fontId="2"/>
  </si>
  <si>
    <t>F0</t>
  </si>
  <si>
    <t>F1</t>
  </si>
  <si>
    <t>てんかん</t>
  </si>
  <si>
    <t>病状は落ち着いているが、ときどき不安定な病状が見られ、そのことが退院を阻害する要因になっている</t>
  </si>
  <si>
    <t>家族が退院に反対している</t>
  </si>
  <si>
    <t>家族がいない・本人をサポートする機能が実質ない</t>
  </si>
  <si>
    <t>1年未満</t>
  </si>
  <si>
    <t>1年以上5年未満</t>
  </si>
  <si>
    <t>5年以上10年未満</t>
  </si>
  <si>
    <t>10年以上</t>
  </si>
  <si>
    <t>患者全体</t>
    <rPh sb="0" eb="2">
      <t>カンジャ</t>
    </rPh>
    <rPh sb="2" eb="4">
      <t>ゼンタイ</t>
    </rPh>
    <phoneticPr fontId="2"/>
  </si>
  <si>
    <t>列14</t>
  </si>
  <si>
    <t>列15</t>
  </si>
  <si>
    <t>列16</t>
  </si>
  <si>
    <t>データ貼り付けは表の下にあります。</t>
    <rPh sb="3" eb="4">
      <t>ハ</t>
    </rPh>
    <rPh sb="5" eb="6">
      <t>ツ</t>
    </rPh>
    <rPh sb="8" eb="9">
      <t>ヒョウ</t>
    </rPh>
    <rPh sb="10" eb="11">
      <t>シタ</t>
    </rPh>
    <phoneticPr fontId="2"/>
  </si>
  <si>
    <t>直接入力しないようにご注意ください。</t>
    <rPh sb="0" eb="2">
      <t>チョクセツ</t>
    </rPh>
    <rPh sb="2" eb="4">
      <t>ニュウリョク</t>
    </rPh>
    <rPh sb="11" eb="13">
      <t>チュウイ</t>
    </rPh>
    <phoneticPr fontId="2"/>
  </si>
  <si>
    <t>列17</t>
  </si>
  <si>
    <t>院内寛解</t>
    <rPh sb="0" eb="2">
      <t>インナイ</t>
    </rPh>
    <phoneticPr fontId="2"/>
  </si>
  <si>
    <t>行ラベル</t>
  </si>
  <si>
    <t>措置入院</t>
  </si>
  <si>
    <t>鑑定入院</t>
  </si>
  <si>
    <t>医療観察法による入院</t>
  </si>
  <si>
    <t>緊急措置入院</t>
  </si>
  <si>
    <t>【年齢区分×病院所在地（圏域）】</t>
    <phoneticPr fontId="2"/>
  </si>
  <si>
    <t>豊能</t>
  </si>
  <si>
    <t>三島</t>
  </si>
  <si>
    <t>北河内</t>
  </si>
  <si>
    <t>中河内</t>
  </si>
  <si>
    <t>南河内</t>
  </si>
  <si>
    <t>泉州</t>
  </si>
  <si>
    <t>大阪市</t>
  </si>
  <si>
    <t>堺市</t>
  </si>
  <si>
    <t>01豊能北</t>
  </si>
  <si>
    <t>02豊能豊中</t>
  </si>
  <si>
    <t>03豊能吹田</t>
  </si>
  <si>
    <t>04三島</t>
  </si>
  <si>
    <t>05三島高槻</t>
  </si>
  <si>
    <t>06北河内枚方</t>
  </si>
  <si>
    <t>07北河内寝屋川</t>
  </si>
  <si>
    <t>08北河内西</t>
  </si>
  <si>
    <t>09北河内東</t>
  </si>
  <si>
    <t>10中河内東大阪</t>
  </si>
  <si>
    <t>11中河内南</t>
  </si>
  <si>
    <t>12南河内北</t>
  </si>
  <si>
    <t>13南河内南</t>
  </si>
  <si>
    <t>14泉州北</t>
  </si>
  <si>
    <t>15泉州中</t>
  </si>
  <si>
    <t>16泉州南</t>
  </si>
  <si>
    <t>17大阪市</t>
  </si>
  <si>
    <t>18堺市</t>
  </si>
  <si>
    <t>【入院形態区分×病院所在地（圏域）】</t>
    <phoneticPr fontId="2"/>
  </si>
  <si>
    <t>措置入院・</t>
    <phoneticPr fontId="2"/>
  </si>
  <si>
    <t>【疾患名区分×病院所在地（圏域）】</t>
    <rPh sb="1" eb="3">
      <t>シッカン</t>
    </rPh>
    <rPh sb="3" eb="4">
      <t>メイ</t>
    </rPh>
    <phoneticPr fontId="2"/>
  </si>
  <si>
    <t>症状性を含む器質性精神障害（F0）</t>
  </si>
  <si>
    <t>アルツハイマー病の認知症を含む器質性精神障害（F00）</t>
  </si>
  <si>
    <t>血管性認知症を含む器質性精神障害（F01）</t>
  </si>
  <si>
    <t>アルツハイマー病の認知症・血管性認知症以外の症状性を含む器質性精神障害（F02-F09）</t>
    <phoneticPr fontId="2"/>
  </si>
  <si>
    <t>成人のパーソナリティ及び行動の障害（F6）</t>
    <phoneticPr fontId="2"/>
  </si>
  <si>
    <t>知的障害（F7）</t>
    <rPh sb="0" eb="2">
      <t>チテキ</t>
    </rPh>
    <rPh sb="2" eb="4">
      <t>ショウガイ</t>
    </rPh>
    <phoneticPr fontId="2"/>
  </si>
  <si>
    <t>小児期及び青年期の通常発症する行動及び情緒の障害及び特定不能の精神障害（F9）</t>
    <phoneticPr fontId="2"/>
  </si>
  <si>
    <t>その他</t>
    <phoneticPr fontId="2"/>
  </si>
  <si>
    <t>【在院期間区分×病院所在地（圏域）】</t>
    <rPh sb="1" eb="3">
      <t>ザイイン</t>
    </rPh>
    <rPh sb="3" eb="5">
      <t>キカン</t>
    </rPh>
    <phoneticPr fontId="2"/>
  </si>
  <si>
    <t>1ヶ月～</t>
    <phoneticPr fontId="2"/>
  </si>
  <si>
    <t>3ヶ月未満</t>
    <phoneticPr fontId="2"/>
  </si>
  <si>
    <t>3ヶ月～</t>
    <phoneticPr fontId="2"/>
  </si>
  <si>
    <t>6ヶ月未満</t>
    <phoneticPr fontId="2"/>
  </si>
  <si>
    <t>6ヶ月～</t>
    <phoneticPr fontId="2"/>
  </si>
  <si>
    <t>1年～</t>
    <phoneticPr fontId="2"/>
  </si>
  <si>
    <t>1年6ヶ月未満</t>
    <phoneticPr fontId="2"/>
  </si>
  <si>
    <t>1年6ヶ月</t>
    <phoneticPr fontId="2"/>
  </si>
  <si>
    <t>～2年未満</t>
    <phoneticPr fontId="2"/>
  </si>
  <si>
    <t>2年～</t>
    <phoneticPr fontId="2"/>
  </si>
  <si>
    <t>3年未満</t>
    <phoneticPr fontId="2"/>
  </si>
  <si>
    <t>3年～</t>
    <phoneticPr fontId="2"/>
  </si>
  <si>
    <t>4年未満</t>
    <phoneticPr fontId="2"/>
  </si>
  <si>
    <t>4年～</t>
    <phoneticPr fontId="2"/>
  </si>
  <si>
    <t>5年未満</t>
    <phoneticPr fontId="2"/>
  </si>
  <si>
    <t>5年～</t>
    <phoneticPr fontId="2"/>
  </si>
  <si>
    <t>6年未満</t>
    <phoneticPr fontId="2"/>
  </si>
  <si>
    <t>6年～</t>
    <phoneticPr fontId="2"/>
  </si>
  <si>
    <t>7年未満</t>
    <phoneticPr fontId="2"/>
  </si>
  <si>
    <t>7年～</t>
    <phoneticPr fontId="2"/>
  </si>
  <si>
    <t>8年未満</t>
    <phoneticPr fontId="2"/>
  </si>
  <si>
    <t>8年～</t>
    <phoneticPr fontId="2"/>
  </si>
  <si>
    <t>9年未満</t>
    <phoneticPr fontId="2"/>
  </si>
  <si>
    <t>9年～</t>
    <phoneticPr fontId="2"/>
  </si>
  <si>
    <t>10年未満</t>
    <phoneticPr fontId="2"/>
  </si>
  <si>
    <t>10年～</t>
    <phoneticPr fontId="2"/>
  </si>
  <si>
    <t>20年未満</t>
    <phoneticPr fontId="2"/>
  </si>
  <si>
    <t>1年以上</t>
    <rPh sb="2" eb="4">
      <t>イジョウ</t>
    </rPh>
    <phoneticPr fontId="31"/>
  </si>
  <si>
    <t>5年未満（再掲）</t>
    <phoneticPr fontId="2"/>
  </si>
  <si>
    <t>5年以上</t>
    <rPh sb="1" eb="2">
      <t>ネン</t>
    </rPh>
    <rPh sb="2" eb="4">
      <t>イジョウ</t>
    </rPh>
    <phoneticPr fontId="31"/>
  </si>
  <si>
    <t>10年未満（再掲）</t>
    <phoneticPr fontId="2"/>
  </si>
  <si>
    <t>10年以上（再掲）</t>
    <phoneticPr fontId="2"/>
  </si>
  <si>
    <t>【状態像区分×病院所在地（圏域）】</t>
    <rPh sb="1" eb="3">
      <t>ジョウタイ</t>
    </rPh>
    <rPh sb="3" eb="4">
      <t>ゾウ</t>
    </rPh>
    <phoneticPr fontId="2"/>
  </si>
  <si>
    <t>【退院阻害要因の有無×病院所在地（圏域）】</t>
    <phoneticPr fontId="2"/>
  </si>
  <si>
    <t>病状（主症状）が落ち着き、入院によらない形で治療ができるまで回復</t>
    <rPh sb="0" eb="2">
      <t>ビョウジョウ</t>
    </rPh>
    <phoneticPr fontId="2"/>
  </si>
  <si>
    <t>退院阻害要因はない</t>
    <rPh sb="0" eb="2">
      <t>タイイン</t>
    </rPh>
    <rPh sb="2" eb="4">
      <t>ソガイ</t>
    </rPh>
    <rPh sb="4" eb="6">
      <t>ヨウイン</t>
    </rPh>
    <phoneticPr fontId="2"/>
  </si>
  <si>
    <t>【退院阻害要因（複数回答）×病院所在地（圏域）】</t>
    <phoneticPr fontId="2"/>
  </si>
  <si>
    <t>反社会的行動が予測される</t>
    <phoneticPr fontId="2"/>
  </si>
  <si>
    <t>退院意欲が乏しい</t>
    <phoneticPr fontId="2"/>
  </si>
  <si>
    <t>現実認識が乏しい</t>
    <phoneticPr fontId="2"/>
  </si>
  <si>
    <t>援助者との対人関係がもてない</t>
    <phoneticPr fontId="2"/>
  </si>
  <si>
    <t>住まいの確保ができない</t>
    <phoneticPr fontId="2"/>
  </si>
  <si>
    <t>生活費の確保ができない</t>
    <phoneticPr fontId="2"/>
  </si>
  <si>
    <t>日常生活を支える制度がない</t>
    <phoneticPr fontId="2"/>
  </si>
  <si>
    <t>救急診療体制がない</t>
    <phoneticPr fontId="2"/>
  </si>
  <si>
    <t>退院に向けてサポートする人的資源が乏しい</t>
    <phoneticPr fontId="2"/>
  </si>
  <si>
    <t>退院後サポート・マネジメントする人的資源が乏しい</t>
    <phoneticPr fontId="2"/>
  </si>
  <si>
    <t>その他の退院阻害要因がある</t>
    <phoneticPr fontId="2"/>
  </si>
  <si>
    <t>【年齢区分×入院時住所地（圏域）】</t>
    <rPh sb="6" eb="8">
      <t>ニュウイン</t>
    </rPh>
    <rPh sb="8" eb="9">
      <t>ジ</t>
    </rPh>
    <rPh sb="9" eb="11">
      <t>ジュウショ</t>
    </rPh>
    <phoneticPr fontId="2"/>
  </si>
  <si>
    <t>府外・
その他</t>
    <rPh sb="0" eb="1">
      <t>フ</t>
    </rPh>
    <rPh sb="1" eb="2">
      <t>ガイ</t>
    </rPh>
    <rPh sb="6" eb="7">
      <t>タ</t>
    </rPh>
    <phoneticPr fontId="2"/>
  </si>
  <si>
    <t>98他府県</t>
  </si>
  <si>
    <t>99不明</t>
  </si>
  <si>
    <t>【入院形態区分×入院時住所地（圏域）】</t>
    <rPh sb="8" eb="10">
      <t>ニュウイン</t>
    </rPh>
    <rPh sb="10" eb="11">
      <t>ジ</t>
    </rPh>
    <rPh sb="11" eb="13">
      <t>ジュウショ</t>
    </rPh>
    <rPh sb="13" eb="14">
      <t>チ</t>
    </rPh>
    <rPh sb="15" eb="17">
      <t>ケンイキ</t>
    </rPh>
    <phoneticPr fontId="2"/>
  </si>
  <si>
    <t>緊急措置入院</t>
    <rPh sb="0" eb="2">
      <t>キンキュウ</t>
    </rPh>
    <rPh sb="2" eb="4">
      <t>ソチ</t>
    </rPh>
    <rPh sb="4" eb="6">
      <t>ニュウイン</t>
    </rPh>
    <phoneticPr fontId="2"/>
  </si>
  <si>
    <t>【疾患名区分×入院時住所地（圏域）】</t>
    <rPh sb="1" eb="3">
      <t>シッカン</t>
    </rPh>
    <rPh sb="3" eb="4">
      <t>メイ</t>
    </rPh>
    <phoneticPr fontId="2"/>
  </si>
  <si>
    <t>【在院期間区分×入院時住所地（圏域）】</t>
    <rPh sb="1" eb="3">
      <t>ザイイン</t>
    </rPh>
    <rPh sb="3" eb="5">
      <t>キカン</t>
    </rPh>
    <phoneticPr fontId="2"/>
  </si>
  <si>
    <t>【状態像区分×入院時住所地（圏域）】</t>
    <rPh sb="1" eb="3">
      <t>ジョウタイ</t>
    </rPh>
    <rPh sb="3" eb="4">
      <t>ゾウ</t>
    </rPh>
    <phoneticPr fontId="2"/>
  </si>
  <si>
    <t>【退院阻害要因の有無×入院時住所地（圏域）】</t>
    <phoneticPr fontId="2"/>
  </si>
  <si>
    <t>【退院阻害要因（複数回答）×入院時住所地（圏域）】</t>
    <phoneticPr fontId="2"/>
  </si>
  <si>
    <t>【病院所在地（圏域）×入院時住所地（圏域）】</t>
    <rPh sb="1" eb="3">
      <t>ビョウイン</t>
    </rPh>
    <rPh sb="3" eb="6">
      <t>ショザイチ</t>
    </rPh>
    <rPh sb="7" eb="9">
      <t>ケンイキ</t>
    </rPh>
    <rPh sb="11" eb="13">
      <t>ニュウイン</t>
    </rPh>
    <rPh sb="13" eb="14">
      <t>ジ</t>
    </rPh>
    <rPh sb="14" eb="16">
      <t>ジュウショ</t>
    </rPh>
    <rPh sb="16" eb="17">
      <t>チ</t>
    </rPh>
    <rPh sb="18" eb="20">
      <t>ケンイキ</t>
    </rPh>
    <phoneticPr fontId="2"/>
  </si>
  <si>
    <t>病院所在地</t>
    <rPh sb="0" eb="2">
      <t>ビョウイン</t>
    </rPh>
    <rPh sb="2" eb="5">
      <t>ショザイチ</t>
    </rPh>
    <phoneticPr fontId="2"/>
  </si>
  <si>
    <t>入院時住所地</t>
    <rPh sb="0" eb="2">
      <t>ニュウイン</t>
    </rPh>
    <rPh sb="2" eb="3">
      <t>ジ</t>
    </rPh>
    <rPh sb="3" eb="5">
      <t>ジュウショ</t>
    </rPh>
    <rPh sb="5" eb="6">
      <t>チ</t>
    </rPh>
    <phoneticPr fontId="2"/>
  </si>
  <si>
    <t>（触らない）</t>
    <rPh sb="1" eb="2">
      <t>サワ</t>
    </rPh>
    <phoneticPr fontId="2"/>
  </si>
  <si>
    <t>1_豊能</t>
    <rPh sb="2" eb="4">
      <t>トヨノ</t>
    </rPh>
    <phoneticPr fontId="31"/>
  </si>
  <si>
    <t>2_三島</t>
    <rPh sb="2" eb="4">
      <t>ミシマ</t>
    </rPh>
    <phoneticPr fontId="31"/>
  </si>
  <si>
    <t>3_北河内</t>
    <rPh sb="2" eb="5">
      <t>キタカワチ</t>
    </rPh>
    <phoneticPr fontId="31"/>
  </si>
  <si>
    <t>4_中河内</t>
    <rPh sb="2" eb="3">
      <t>ナカ</t>
    </rPh>
    <rPh sb="3" eb="5">
      <t>カワチ</t>
    </rPh>
    <phoneticPr fontId="31"/>
  </si>
  <si>
    <t>5_南河内</t>
    <rPh sb="2" eb="5">
      <t>ミナミカワチ</t>
    </rPh>
    <phoneticPr fontId="31"/>
  </si>
  <si>
    <t>6_泉州</t>
    <rPh sb="2" eb="4">
      <t>センシュウ</t>
    </rPh>
    <phoneticPr fontId="31"/>
  </si>
  <si>
    <t>7_大阪市</t>
    <rPh sb="2" eb="5">
      <t>オオサカシ</t>
    </rPh>
    <phoneticPr fontId="31"/>
  </si>
  <si>
    <t>8_堺市</t>
    <rPh sb="2" eb="4">
      <t>サカイシ</t>
    </rPh>
    <phoneticPr fontId="31"/>
  </si>
  <si>
    <t>他府県・不明</t>
    <rPh sb="0" eb="1">
      <t>タ</t>
    </rPh>
    <rPh sb="1" eb="3">
      <t>フケン</t>
    </rPh>
    <rPh sb="4" eb="6">
      <t>フメイ</t>
    </rPh>
    <phoneticPr fontId="31"/>
  </si>
  <si>
    <t>大阪市</t>
    <rPh sb="0" eb="3">
      <t>オオサカシ</t>
    </rPh>
    <phoneticPr fontId="2"/>
  </si>
  <si>
    <t>堺市</t>
    <rPh sb="0" eb="2">
      <t>サカイシ</t>
    </rPh>
    <phoneticPr fontId="2"/>
  </si>
  <si>
    <t>【病院所在地（圏域）×入院時住所地（圏域）】〔１年以上入院患者〕</t>
    <rPh sb="1" eb="3">
      <t>ビョウイン</t>
    </rPh>
    <rPh sb="3" eb="6">
      <t>ショザイチ</t>
    </rPh>
    <rPh sb="7" eb="9">
      <t>ケンイキ</t>
    </rPh>
    <rPh sb="11" eb="13">
      <t>ニュウイン</t>
    </rPh>
    <rPh sb="13" eb="14">
      <t>ジ</t>
    </rPh>
    <rPh sb="14" eb="16">
      <t>ジュウショ</t>
    </rPh>
    <rPh sb="16" eb="17">
      <t>チ</t>
    </rPh>
    <rPh sb="18" eb="20">
      <t>ケンイキ</t>
    </rPh>
    <rPh sb="24" eb="27">
      <t>ネンイジョウ</t>
    </rPh>
    <rPh sb="27" eb="29">
      <t>ニュウイン</t>
    </rPh>
    <rPh sb="29" eb="31">
      <t>カンジャ</t>
    </rPh>
    <phoneticPr fontId="2"/>
  </si>
  <si>
    <t>【入院時住所地別在院患者の状況】</t>
    <rPh sb="1" eb="3">
      <t>ニュウイン</t>
    </rPh>
    <rPh sb="3" eb="4">
      <t>ジ</t>
    </rPh>
    <rPh sb="4" eb="6">
      <t>ジュウショ</t>
    </rPh>
    <rPh sb="6" eb="7">
      <t>チ</t>
    </rPh>
    <rPh sb="7" eb="8">
      <t>ベツ</t>
    </rPh>
    <rPh sb="8" eb="10">
      <t>ザイイン</t>
    </rPh>
    <rPh sb="10" eb="12">
      <t>カンジャ</t>
    </rPh>
    <rPh sb="13" eb="15">
      <t>ジョウキョウ</t>
    </rPh>
    <phoneticPr fontId="2"/>
  </si>
  <si>
    <t>在院1年以上</t>
    <rPh sb="0" eb="2">
      <t>ザイイン</t>
    </rPh>
    <rPh sb="3" eb="6">
      <t>ネンイジョウ</t>
    </rPh>
    <phoneticPr fontId="2"/>
  </si>
  <si>
    <t>在院1年未満</t>
    <rPh sb="0" eb="2">
      <t>ザイイン</t>
    </rPh>
    <rPh sb="3" eb="4">
      <t>ネン</t>
    </rPh>
    <rPh sb="4" eb="6">
      <t>ミマン</t>
    </rPh>
    <phoneticPr fontId="2"/>
  </si>
  <si>
    <t>軽度</t>
    <rPh sb="0" eb="2">
      <t>ケイド</t>
    </rPh>
    <phoneticPr fontId="2"/>
  </si>
  <si>
    <t>中等度</t>
    <rPh sb="0" eb="2">
      <t>チュウトウ</t>
    </rPh>
    <rPh sb="2" eb="3">
      <t>ド</t>
    </rPh>
    <phoneticPr fontId="2"/>
  </si>
  <si>
    <t>重度</t>
    <rPh sb="0" eb="2">
      <t>ジュウド</t>
    </rPh>
    <phoneticPr fontId="2"/>
  </si>
  <si>
    <t>最重度</t>
    <rPh sb="0" eb="1">
      <t>サイ</t>
    </rPh>
    <rPh sb="1" eb="3">
      <t>ジュウド</t>
    </rPh>
    <phoneticPr fontId="2"/>
  </si>
  <si>
    <t>小計</t>
    <rPh sb="0" eb="2">
      <t>ショウケイ</t>
    </rPh>
    <phoneticPr fontId="2"/>
  </si>
  <si>
    <t>池田市</t>
  </si>
  <si>
    <t>箕面市</t>
  </si>
  <si>
    <t>能勢町</t>
  </si>
  <si>
    <t>豊能町</t>
  </si>
  <si>
    <t>豊中市</t>
  </si>
  <si>
    <t>吹田市</t>
  </si>
  <si>
    <t>摂津市</t>
  </si>
  <si>
    <t>茨木市</t>
  </si>
  <si>
    <t>枚方市</t>
  </si>
  <si>
    <t>寝屋川市</t>
  </si>
  <si>
    <t>交野市</t>
  </si>
  <si>
    <t>東大阪市</t>
  </si>
  <si>
    <t>八尾市</t>
  </si>
  <si>
    <t>柏原市</t>
  </si>
  <si>
    <t>松原市</t>
  </si>
  <si>
    <t>藤井寺市</t>
  </si>
  <si>
    <t>羽曳野市</t>
  </si>
  <si>
    <t>大阪狭山市</t>
  </si>
  <si>
    <t>富田林市</t>
  </si>
  <si>
    <t>太子町</t>
  </si>
  <si>
    <t>河南町</t>
  </si>
  <si>
    <t>千早赤阪村</t>
  </si>
  <si>
    <t>河内長野市</t>
  </si>
  <si>
    <t>和泉市</t>
  </si>
  <si>
    <t>泉大津市</t>
  </si>
  <si>
    <t>高石市</t>
  </si>
  <si>
    <t>忠岡町</t>
  </si>
  <si>
    <t>岸和田市</t>
  </si>
  <si>
    <t>貝塚市</t>
  </si>
  <si>
    <t>熊取町</t>
  </si>
  <si>
    <t>泉佐野市</t>
  </si>
  <si>
    <t>田尻町</t>
  </si>
  <si>
    <t>泉南市</t>
  </si>
  <si>
    <t>阪南市</t>
  </si>
  <si>
    <t>岬町</t>
  </si>
  <si>
    <t>大阪市</t>
    <phoneticPr fontId="2"/>
  </si>
  <si>
    <t>北区</t>
  </si>
  <si>
    <t>都島区</t>
  </si>
  <si>
    <t>福島区</t>
  </si>
  <si>
    <t>此花区</t>
  </si>
  <si>
    <t>中央区</t>
  </si>
  <si>
    <t>西区</t>
  </si>
  <si>
    <t>港区</t>
  </si>
  <si>
    <t>大正区</t>
  </si>
  <si>
    <t>天王寺区</t>
  </si>
  <si>
    <t>浪速区</t>
  </si>
  <si>
    <t>西淀川区</t>
  </si>
  <si>
    <t>淀川区</t>
  </si>
  <si>
    <t>東淀川区</t>
  </si>
  <si>
    <t>東成区</t>
  </si>
  <si>
    <t>生野区</t>
  </si>
  <si>
    <t>旭区</t>
  </si>
  <si>
    <t>城東区</t>
  </si>
  <si>
    <t>鶴見区</t>
  </si>
  <si>
    <t>阿倍野区</t>
  </si>
  <si>
    <t>住之江区</t>
  </si>
  <si>
    <t>住吉区</t>
  </si>
  <si>
    <t>東住吉区</t>
  </si>
  <si>
    <t>平野区</t>
  </si>
  <si>
    <t>西成区</t>
  </si>
  <si>
    <t>　　堺区</t>
    <rPh sb="2" eb="4">
      <t>サカイク</t>
    </rPh>
    <phoneticPr fontId="2"/>
  </si>
  <si>
    <t>　　西区</t>
    <rPh sb="2" eb="3">
      <t>ニシ</t>
    </rPh>
    <phoneticPr fontId="2"/>
  </si>
  <si>
    <t>　　中区</t>
    <rPh sb="2" eb="3">
      <t>ナカ</t>
    </rPh>
    <rPh sb="3" eb="4">
      <t>ク</t>
    </rPh>
    <phoneticPr fontId="2"/>
  </si>
  <si>
    <t>　　南区</t>
    <rPh sb="2" eb="4">
      <t>ミナミク</t>
    </rPh>
    <phoneticPr fontId="2"/>
  </si>
  <si>
    <t>　　北区</t>
    <rPh sb="2" eb="4">
      <t>キタク</t>
    </rPh>
    <phoneticPr fontId="2"/>
  </si>
  <si>
    <t>　　東区</t>
    <rPh sb="2" eb="4">
      <t>ヒガシク</t>
    </rPh>
    <phoneticPr fontId="2"/>
  </si>
  <si>
    <t>　　美原区</t>
    <rPh sb="2" eb="5">
      <t>ミハラク</t>
    </rPh>
    <phoneticPr fontId="2"/>
  </si>
  <si>
    <t>他府県</t>
    <rPh sb="0" eb="1">
      <t>タ</t>
    </rPh>
    <rPh sb="1" eb="3">
      <t>フケン</t>
    </rPh>
    <phoneticPr fontId="2"/>
  </si>
  <si>
    <t>滋賀県</t>
  </si>
  <si>
    <t>京都府</t>
  </si>
  <si>
    <t>奈良県</t>
  </si>
  <si>
    <t>兵庫県</t>
  </si>
  <si>
    <t>和歌山県</t>
  </si>
  <si>
    <t>不明</t>
  </si>
  <si>
    <t>島本町</t>
    <phoneticPr fontId="2"/>
  </si>
  <si>
    <t>高槻市</t>
    <rPh sb="0" eb="3">
      <t>タカツキシ</t>
    </rPh>
    <phoneticPr fontId="2"/>
  </si>
  <si>
    <t>四條畷市</t>
    <phoneticPr fontId="2"/>
  </si>
  <si>
    <t>大東市</t>
    <rPh sb="0" eb="2">
      <t>ダイトウ</t>
    </rPh>
    <phoneticPr fontId="2"/>
  </si>
  <si>
    <t>守口市</t>
    <rPh sb="0" eb="3">
      <t>モリグチシ</t>
    </rPh>
    <phoneticPr fontId="2"/>
  </si>
  <si>
    <t>門真市</t>
    <rPh sb="0" eb="3">
      <t>カドマシ</t>
    </rPh>
    <phoneticPr fontId="2"/>
  </si>
  <si>
    <t>患者全体</t>
  </si>
  <si>
    <t>合計</t>
  </si>
  <si>
    <t>寛解・院内寛解群</t>
  </si>
  <si>
    <t>1年以上</t>
    <rPh sb="1" eb="4">
      <t>ネンイジョウ</t>
    </rPh>
    <phoneticPr fontId="2"/>
  </si>
  <si>
    <t>データの個数 / 年齢</t>
  </si>
  <si>
    <t>データの個数 / 入院</t>
  </si>
  <si>
    <t>データの個数 / 疾患名</t>
  </si>
  <si>
    <t>データの個数 / 在院</t>
  </si>
  <si>
    <t>値</t>
  </si>
  <si>
    <t>列19</t>
  </si>
  <si>
    <t>列20</t>
  </si>
  <si>
    <t>(空白)</t>
  </si>
  <si>
    <t xml:space="preserve">F00アルツハイマー病型認知症   </t>
  </si>
  <si>
    <t xml:space="preserve">F00アルツハイマー病型認知症  </t>
  </si>
  <si>
    <t>99不明その他</t>
  </si>
  <si>
    <t>退院意欲が乏しい</t>
    <phoneticPr fontId="2"/>
  </si>
  <si>
    <t>令和3年度
巻末資料</t>
    <rPh sb="0" eb="2">
      <t>レイワ</t>
    </rPh>
    <rPh sb="3" eb="5">
      <t>ネンド</t>
    </rPh>
    <rPh sb="6" eb="8">
      <t>カンマツ</t>
    </rPh>
    <rPh sb="8" eb="10">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</si>
</sst>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Red]\-#,##0\ "/>
    <numFmt numFmtId="177" formatCode="0.0%"/>
    <numFmt numFmtId="178" formatCode="\(#,##0\)"/>
    <numFmt numFmtId="179" formatCode="0_);[Red]\(0\)"/>
    <numFmt numFmtId="180" formatCode="\(0.0%\)"/>
    <numFmt numFmtId="181" formatCode="#,##0_);[Red]\(#,##0\)"/>
    <numFmt numFmtId="182" formatCode="#,##0_ "/>
    <numFmt numFmtId="183" formatCode="&quot;「割合」には退院阻害要因がある&quot;#,##0&quot;人に対する割合を表示しています。&quot;"/>
    <numFmt numFmtId="184" formatCode="&quot;「割合」には退院阻害要因がある人の合計&quot;#,##0&quot;人に対する割合を表示しています。&quot;"/>
    <numFmt numFmtId="185" formatCode="#,###&quot;人&quot;"/>
    <numFmt numFmtId="186" formatCode="#,##0&quot;人&quot;"/>
  </numFmts>
  <fonts count="4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11"/>
      <color theme="1"/>
      <name val="メイリオ"/>
      <family val="3"/>
      <charset val="128"/>
    </font>
    <font>
      <b/>
      <sz val="12"/>
      <color theme="1"/>
      <name val="メイリオ"/>
      <family val="3"/>
      <charset val="128"/>
    </font>
    <font>
      <sz val="12"/>
      <color theme="1"/>
      <name val="メイリオ"/>
      <family val="3"/>
      <charset val="128"/>
    </font>
    <font>
      <b/>
      <sz val="11"/>
      <color theme="1"/>
      <name val="メイリオ"/>
      <family val="3"/>
      <charset val="128"/>
    </font>
    <font>
      <sz val="11"/>
      <color rgb="FFFF0000"/>
      <name val="メイリオ"/>
      <family val="3"/>
      <charset val="128"/>
    </font>
    <font>
      <b/>
      <sz val="11"/>
      <color rgb="FFFF0000"/>
      <name val="メイリオ"/>
      <family val="3"/>
      <charset val="128"/>
    </font>
    <font>
      <sz val="11"/>
      <color theme="0"/>
      <name val="メイリオ"/>
      <family val="3"/>
      <charset val="128"/>
    </font>
    <font>
      <sz val="8"/>
      <color theme="1"/>
      <name val="メイリオ"/>
      <family val="3"/>
      <charset val="128"/>
    </font>
    <font>
      <sz val="9"/>
      <color theme="1"/>
      <name val="メイリオ"/>
      <family val="3"/>
      <charset val="128"/>
    </font>
    <font>
      <b/>
      <sz val="9"/>
      <color theme="1"/>
      <name val="メイリオ"/>
      <family val="3"/>
      <charset val="128"/>
    </font>
    <font>
      <b/>
      <sz val="10"/>
      <color theme="1"/>
      <name val="メイリオ"/>
      <family val="3"/>
      <charset val="128"/>
    </font>
    <font>
      <sz val="10"/>
      <color theme="1"/>
      <name val="メイリオ"/>
      <family val="3"/>
      <charset val="128"/>
    </font>
    <font>
      <sz val="11"/>
      <name val="メイリオ"/>
      <family val="3"/>
      <charset val="128"/>
    </font>
    <font>
      <b/>
      <sz val="12"/>
      <name val="メイリオ"/>
      <family val="3"/>
      <charset val="128"/>
    </font>
    <font>
      <sz val="10.5"/>
      <color theme="1"/>
      <name val="メイリオ"/>
      <family val="3"/>
      <charset val="128"/>
    </font>
    <font>
      <sz val="7.5"/>
      <color theme="1"/>
      <name val="メイリオ"/>
      <family val="3"/>
      <charset val="128"/>
    </font>
    <font>
      <b/>
      <sz val="12"/>
      <color theme="0"/>
      <name val="メイリオ"/>
      <family val="3"/>
      <charset val="128"/>
    </font>
    <font>
      <b/>
      <sz val="11"/>
      <color theme="0"/>
      <name val="メイリオ"/>
      <family val="3"/>
      <charset val="128"/>
    </font>
    <font>
      <b/>
      <sz val="11"/>
      <color theme="1"/>
      <name val="ＭＳ Ｐゴシック"/>
      <family val="3"/>
      <charset val="128"/>
    </font>
    <font>
      <b/>
      <sz val="14"/>
      <color theme="1"/>
      <name val="メイリオ"/>
      <family val="3"/>
      <charset val="128"/>
    </font>
    <font>
      <b/>
      <sz val="18"/>
      <color theme="1"/>
      <name val="メイリオ"/>
      <family val="3"/>
      <charset val="128"/>
    </font>
    <font>
      <sz val="9"/>
      <color theme="0"/>
      <name val="メイリオ"/>
      <family val="3"/>
      <charset val="128"/>
    </font>
    <font>
      <sz val="11"/>
      <color rgb="FFFF0000"/>
      <name val="ＭＳ Ｐゴシック"/>
      <family val="2"/>
      <charset val="128"/>
      <scheme val="minor"/>
    </font>
    <font>
      <b/>
      <sz val="10"/>
      <color rgb="FFFF0000"/>
      <name val="メイリオ"/>
      <family val="3"/>
      <charset val="128"/>
    </font>
    <font>
      <sz val="11"/>
      <color rgb="FF0066CC"/>
      <name val="メイリオ"/>
      <family val="3"/>
      <charset val="128"/>
    </font>
    <font>
      <sz val="12"/>
      <color rgb="FF0066CC"/>
      <name val="メイリオ"/>
      <family val="3"/>
      <charset val="128"/>
    </font>
    <font>
      <b/>
      <sz val="11"/>
      <color theme="1"/>
      <name val="ＭＳ Ｐゴシック"/>
      <family val="2"/>
      <charset val="128"/>
      <scheme val="minor"/>
    </font>
    <font>
      <sz val="7.8"/>
      <color theme="1"/>
      <name val="メイリオ"/>
      <family val="3"/>
      <charset val="128"/>
    </font>
    <font>
      <sz val="12"/>
      <color theme="0"/>
      <name val="メイリオ"/>
      <family val="3"/>
      <charset val="128"/>
    </font>
    <font>
      <b/>
      <sz val="6"/>
      <color theme="1"/>
      <name val="メイリオ"/>
      <family val="3"/>
      <charset val="128"/>
    </font>
    <font>
      <b/>
      <sz val="12"/>
      <color rgb="FFFF0000"/>
      <name val="メイリオ"/>
      <family val="3"/>
      <charset val="128"/>
    </font>
    <font>
      <sz val="9"/>
      <color rgb="FFFF0000"/>
      <name val="メイリオ"/>
      <family val="3"/>
      <charset val="128"/>
    </font>
    <font>
      <sz val="10"/>
      <color rgb="FFFF0000"/>
      <name val="メイリオ"/>
      <family val="3"/>
      <charset val="128"/>
    </font>
    <font>
      <b/>
      <sz val="48"/>
      <color theme="1"/>
      <name val="游ゴシック"/>
      <family val="3"/>
      <charset val="128"/>
    </font>
    <font>
      <sz val="11"/>
      <color rgb="FF000000"/>
      <name val="ＭＳ Ｐゴシック"/>
      <family val="3"/>
      <charset val="128"/>
    </font>
  </fonts>
  <fills count="20">
    <fill>
      <patternFill patternType="none"/>
    </fill>
    <fill>
      <patternFill patternType="gray125"/>
    </fill>
    <fill>
      <patternFill patternType="solid">
        <fgColor theme="6" tint="0.59999389629810485"/>
        <bgColor theme="4" tint="0.79998168889431442"/>
      </patternFill>
    </fill>
    <fill>
      <patternFill patternType="solid">
        <fgColor theme="5" tint="-0.49998474074526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theme="4" tint="0.79998168889431442"/>
      </patternFill>
    </fill>
    <fill>
      <patternFill patternType="solid">
        <fgColor theme="3" tint="0.79998168889431442"/>
        <bgColor indexed="64"/>
      </patternFill>
    </fill>
    <fill>
      <patternFill patternType="solid">
        <fgColor rgb="FFFFC000"/>
        <bgColor indexed="64"/>
      </patternFill>
    </fill>
    <fill>
      <patternFill patternType="solid">
        <fgColor rgb="FFFFC000"/>
        <bgColor theme="4" tint="0.79998168889431442"/>
      </patternFill>
    </fill>
    <fill>
      <patternFill patternType="solid">
        <fgColor rgb="FF00B050"/>
        <bgColor indexed="64"/>
      </patternFill>
    </fill>
    <fill>
      <patternFill patternType="solid">
        <fgColor theme="4"/>
        <bgColor theme="4"/>
      </patternFill>
    </fill>
    <fill>
      <patternFill patternType="solid">
        <fgColor theme="5" tint="0.79998168889431442"/>
        <bgColor indexed="64"/>
      </patternFill>
    </fill>
    <fill>
      <patternFill patternType="solid">
        <fgColor rgb="FF00B0F0"/>
        <bgColor theme="4" tint="0.79998168889431442"/>
      </patternFill>
    </fill>
    <fill>
      <patternFill patternType="solid">
        <fgColor theme="9" tint="0.59996337778862885"/>
        <bgColor theme="4" tint="0.79998168889431442"/>
      </patternFill>
    </fill>
    <fill>
      <patternFill patternType="solid">
        <fgColor theme="9" tint="0.59996337778862885"/>
        <bgColor indexed="64"/>
      </patternFill>
    </fill>
  </fills>
  <borders count="110">
    <border>
      <left/>
      <right/>
      <top/>
      <bottom/>
      <diagonal/>
    </border>
    <border>
      <left/>
      <right/>
      <top style="thin">
        <color theme="6" tint="-0.499984740745262"/>
      </top>
      <bottom/>
      <diagonal/>
    </border>
    <border>
      <left/>
      <right/>
      <top style="thin">
        <color theme="6" tint="-0.499984740745262"/>
      </top>
      <bottom style="thin">
        <color theme="6" tint="-0.499984740745262"/>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style="thin">
        <color auto="1"/>
      </top>
      <bottom style="hair">
        <color auto="1"/>
      </bottom>
      <diagonal/>
    </border>
    <border>
      <left style="dotted">
        <color auto="1"/>
      </left>
      <right style="thin">
        <color auto="1"/>
      </right>
      <top style="thin">
        <color auto="1"/>
      </top>
      <bottom style="hair">
        <color auto="1"/>
      </bottom>
      <diagonal/>
    </border>
    <border>
      <left style="thin">
        <color auto="1"/>
      </left>
      <right style="dotted">
        <color auto="1"/>
      </right>
      <top style="hair">
        <color auto="1"/>
      </top>
      <bottom style="hair">
        <color auto="1"/>
      </bottom>
      <diagonal/>
    </border>
    <border>
      <left style="dotted">
        <color auto="1"/>
      </left>
      <right style="thin">
        <color auto="1"/>
      </right>
      <top style="hair">
        <color auto="1"/>
      </top>
      <bottom style="hair">
        <color auto="1"/>
      </bottom>
      <diagonal/>
    </border>
    <border>
      <left style="thin">
        <color auto="1"/>
      </left>
      <right style="dotted">
        <color auto="1"/>
      </right>
      <top style="hair">
        <color auto="1"/>
      </top>
      <bottom style="thin">
        <color auto="1"/>
      </bottom>
      <diagonal/>
    </border>
    <border>
      <left style="dotted">
        <color auto="1"/>
      </left>
      <right style="thin">
        <color auto="1"/>
      </right>
      <top style="hair">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theme="4" tint="0.39997558519241921"/>
      </bottom>
      <diagonal/>
    </border>
    <border>
      <left/>
      <right/>
      <top style="thin">
        <color theme="4" tint="0.39997558519241921"/>
      </top>
      <bottom/>
      <diagonal/>
    </border>
    <border>
      <left/>
      <right/>
      <top style="thin">
        <color rgb="FF0070C0"/>
      </top>
      <bottom/>
      <diagonal/>
    </border>
    <border>
      <left/>
      <right/>
      <top/>
      <bottom style="thin">
        <color rgb="FF0070C0"/>
      </bottom>
      <diagonal/>
    </border>
    <border>
      <left style="dotted">
        <color auto="1"/>
      </left>
      <right style="thin">
        <color auto="1"/>
      </right>
      <top/>
      <bottom style="hair">
        <color auto="1"/>
      </bottom>
      <diagonal/>
    </border>
    <border>
      <left style="dotted">
        <color auto="1"/>
      </left>
      <right style="thin">
        <color auto="1"/>
      </right>
      <top style="hair">
        <color auto="1"/>
      </top>
      <bottom/>
      <diagonal/>
    </border>
    <border>
      <left style="thin">
        <color auto="1"/>
      </left>
      <right style="dotted">
        <color auto="1"/>
      </right>
      <top style="hair">
        <color indexed="64"/>
      </top>
      <bottom/>
      <diagonal/>
    </border>
    <border>
      <left style="thin">
        <color auto="1"/>
      </left>
      <right style="dotted">
        <color auto="1"/>
      </right>
      <top/>
      <bottom style="hair">
        <color auto="1"/>
      </bottom>
      <diagonal/>
    </border>
    <border>
      <left style="thin">
        <color auto="1"/>
      </left>
      <right style="dotted">
        <color auto="1"/>
      </right>
      <top/>
      <bottom/>
      <diagonal/>
    </border>
    <border>
      <left style="hair">
        <color indexed="64"/>
      </left>
      <right style="dotted">
        <color auto="1"/>
      </right>
      <top style="hair">
        <color indexed="64"/>
      </top>
      <bottom style="hair">
        <color indexed="64"/>
      </bottom>
      <diagonal/>
    </border>
    <border>
      <left/>
      <right/>
      <top style="thin">
        <color theme="6" tint="-0.499984740745262"/>
      </top>
      <bottom style="thin">
        <color indexed="64"/>
      </bottom>
      <diagonal/>
    </border>
    <border>
      <left style="hair">
        <color auto="1"/>
      </left>
      <right style="thin">
        <color auto="1"/>
      </right>
      <top style="thin">
        <color auto="1"/>
      </top>
      <bottom style="thin">
        <color auto="1"/>
      </bottom>
      <diagonal/>
    </border>
    <border>
      <left style="thin">
        <color auto="1"/>
      </left>
      <right/>
      <top/>
      <bottom/>
      <diagonal/>
    </border>
    <border>
      <left style="thin">
        <color auto="1"/>
      </left>
      <right style="hair">
        <color indexed="64"/>
      </right>
      <top style="thin">
        <color auto="1"/>
      </top>
      <bottom style="thin">
        <color auto="1"/>
      </bottom>
      <diagonal/>
    </border>
    <border>
      <left style="thin">
        <color auto="1"/>
      </left>
      <right/>
      <top/>
      <bottom style="thin">
        <color auto="1"/>
      </bottom>
      <diagonal/>
    </border>
    <border>
      <left style="thin">
        <color auto="1"/>
      </left>
      <right style="thin">
        <color auto="1"/>
      </right>
      <top style="hair">
        <color auto="1"/>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hair">
        <color indexed="64"/>
      </left>
      <right style="double">
        <color indexed="64"/>
      </right>
      <top style="thin">
        <color auto="1"/>
      </top>
      <bottom style="thin">
        <color auto="1"/>
      </bottom>
      <diagonal/>
    </border>
    <border>
      <left style="double">
        <color indexed="64"/>
      </left>
      <right style="hair">
        <color indexed="64"/>
      </right>
      <top style="thin">
        <color indexed="64"/>
      </top>
      <bottom style="thin">
        <color indexed="64"/>
      </bottom>
      <diagonal/>
    </border>
    <border>
      <left/>
      <right style="dotted">
        <color auto="1"/>
      </right>
      <top style="hair">
        <color indexed="64"/>
      </top>
      <bottom style="hair">
        <color indexed="64"/>
      </bottom>
      <diagonal/>
    </border>
    <border>
      <left/>
      <right style="hair">
        <color indexed="64"/>
      </right>
      <top style="hair">
        <color indexed="64"/>
      </top>
      <bottom style="hair">
        <color indexed="64"/>
      </bottom>
      <diagonal/>
    </border>
    <border>
      <left/>
      <right style="dotted">
        <color auto="1"/>
      </right>
      <top/>
      <bottom/>
      <diagonal/>
    </border>
    <border>
      <left/>
      <right style="dotted">
        <color auto="1"/>
      </right>
      <top style="hair">
        <color auto="1"/>
      </top>
      <bottom/>
      <diagonal/>
    </border>
    <border>
      <left/>
      <right style="hair">
        <color indexed="64"/>
      </right>
      <top style="hair">
        <color indexed="64"/>
      </top>
      <bottom/>
      <diagonal/>
    </border>
    <border>
      <left style="thin">
        <color theme="0"/>
      </left>
      <right style="thin">
        <color theme="0"/>
      </right>
      <top style="thin">
        <color theme="0"/>
      </top>
      <bottom style="thin">
        <color theme="0"/>
      </bottom>
      <diagonal/>
    </border>
    <border>
      <left/>
      <right style="dotted">
        <color auto="1"/>
      </right>
      <top style="thin">
        <color auto="1"/>
      </top>
      <bottom style="hair">
        <color auto="1"/>
      </bottom>
      <diagonal/>
    </border>
    <border>
      <left/>
      <right style="dotted">
        <color auto="1"/>
      </right>
      <top style="thin">
        <color auto="1"/>
      </top>
      <bottom style="thin">
        <color auto="1"/>
      </bottom>
      <diagonal/>
    </border>
    <border>
      <left/>
      <right style="dotted">
        <color auto="1"/>
      </right>
      <top/>
      <bottom style="hair">
        <color auto="1"/>
      </bottom>
      <diagonal/>
    </border>
    <border>
      <left/>
      <right style="dotted">
        <color auto="1"/>
      </right>
      <top/>
      <bottom style="thin">
        <color auto="1"/>
      </bottom>
      <diagonal/>
    </border>
    <border>
      <left style="thin">
        <color auto="1"/>
      </left>
      <right style="dotted">
        <color auto="1"/>
      </right>
      <top/>
      <bottom style="thin">
        <color auto="1"/>
      </bottom>
      <diagonal/>
    </border>
    <border>
      <left style="dotted">
        <color auto="1"/>
      </left>
      <right style="thin">
        <color auto="1"/>
      </right>
      <top/>
      <bottom/>
      <diagonal/>
    </border>
    <border>
      <left/>
      <right style="thin">
        <color theme="0"/>
      </right>
      <top style="thin">
        <color theme="0"/>
      </top>
      <bottom style="thin">
        <color theme="0"/>
      </bottom>
      <diagonal/>
    </border>
    <border>
      <left style="dotted">
        <color auto="1"/>
      </left>
      <right/>
      <top style="thin">
        <color auto="1"/>
      </top>
      <bottom style="thin">
        <color auto="1"/>
      </bottom>
      <diagonal/>
    </border>
    <border>
      <left style="dotted">
        <color auto="1"/>
      </left>
      <right style="thin">
        <color auto="1"/>
      </right>
      <top/>
      <bottom style="thin">
        <color auto="1"/>
      </bottom>
      <diagonal/>
    </border>
    <border>
      <left style="thin">
        <color indexed="64"/>
      </left>
      <right/>
      <top style="thin">
        <color theme="6" tint="-0.499984740745262"/>
      </top>
      <bottom/>
      <diagonal/>
    </border>
    <border>
      <left style="thin">
        <color auto="1"/>
      </left>
      <right/>
      <top style="thin">
        <color auto="1"/>
      </top>
      <bottom style="thin">
        <color theme="6" tint="-0.499984740745262"/>
      </bottom>
      <diagonal/>
    </border>
    <border>
      <left/>
      <right/>
      <top style="thin">
        <color auto="1"/>
      </top>
      <bottom style="thin">
        <color theme="6" tint="-0.499984740745262"/>
      </bottom>
      <diagonal/>
    </border>
    <border>
      <left style="thin">
        <color auto="1"/>
      </left>
      <right style="thin">
        <color theme="6" tint="-0.499984740745262"/>
      </right>
      <top/>
      <bottom/>
      <diagonal/>
    </border>
    <border>
      <left style="thin">
        <color auto="1"/>
      </left>
      <right style="thin">
        <color theme="6" tint="-0.499984740745262"/>
      </right>
      <top/>
      <bottom style="thin">
        <color theme="6" tint="-0.499984740745262"/>
      </bottom>
      <diagonal/>
    </border>
    <border>
      <left style="thin">
        <color auto="1"/>
      </left>
      <right/>
      <top style="thin">
        <color theme="6" tint="-0.499984740745262"/>
      </top>
      <bottom style="thin">
        <color theme="6" tint="-0.499984740745262"/>
      </bottom>
      <diagonal/>
    </border>
    <border>
      <left style="thin">
        <color auto="1"/>
      </left>
      <right/>
      <top style="thin">
        <color theme="6" tint="-0.499984740745262"/>
      </top>
      <bottom style="thin">
        <color auto="1"/>
      </bottom>
      <diagonal/>
    </border>
    <border>
      <left style="thin">
        <color theme="6" tint="-0.499984740745262"/>
      </left>
      <right/>
      <top style="thin">
        <color theme="6" tint="-0.499984740745262"/>
      </top>
      <bottom style="hair">
        <color theme="6" tint="-0.499984740745262"/>
      </bottom>
      <diagonal/>
    </border>
    <border>
      <left style="thin">
        <color theme="6" tint="-0.499984740745262"/>
      </left>
      <right/>
      <top style="hair">
        <color theme="6" tint="-0.499984740745262"/>
      </top>
      <bottom style="hair">
        <color theme="6" tint="-0.499984740745262"/>
      </bottom>
      <diagonal/>
    </border>
    <border>
      <left style="thin">
        <color theme="6" tint="-0.499984740745262"/>
      </left>
      <right/>
      <top style="hair">
        <color theme="6" tint="-0.499984740745262"/>
      </top>
      <bottom style="thin">
        <color theme="6" tint="-0.499984740745262"/>
      </bottom>
      <diagonal/>
    </border>
    <border>
      <left style="thin">
        <color theme="6" tint="-0.499984740745262"/>
      </left>
      <right/>
      <top style="thin">
        <color auto="1"/>
      </top>
      <bottom style="hair">
        <color theme="6" tint="-0.499984740745262"/>
      </bottom>
      <diagonal/>
    </border>
    <border>
      <left style="thin">
        <color theme="6" tint="-0.499984740745262"/>
      </left>
      <right/>
      <top style="hair">
        <color theme="6" tint="-0.499984740745262"/>
      </top>
      <bottom style="thin">
        <color auto="1"/>
      </bottom>
      <diagonal/>
    </border>
    <border>
      <left style="thin">
        <color auto="1"/>
      </left>
      <right style="thin">
        <color auto="1"/>
      </right>
      <top style="thin">
        <color auto="1"/>
      </top>
      <bottom style="hair">
        <color theme="6" tint="-0.499984740745262"/>
      </bottom>
      <diagonal/>
    </border>
    <border>
      <left style="thin">
        <color auto="1"/>
      </left>
      <right style="thin">
        <color auto="1"/>
      </right>
      <top style="hair">
        <color theme="6" tint="-0.499984740745262"/>
      </top>
      <bottom style="hair">
        <color theme="6" tint="-0.499984740745262"/>
      </bottom>
      <diagonal/>
    </border>
    <border>
      <left style="thin">
        <color auto="1"/>
      </left>
      <right style="thin">
        <color auto="1"/>
      </right>
      <top style="hair">
        <color theme="6" tint="-0.499984740745262"/>
      </top>
      <bottom style="thin">
        <color auto="1"/>
      </bottom>
      <diagonal/>
    </border>
    <border>
      <left style="thin">
        <color auto="1"/>
      </left>
      <right style="thin">
        <color theme="6" tint="-0.499984740745262"/>
      </right>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ck">
        <color rgb="FFFFFF00"/>
      </left>
      <right style="thick">
        <color rgb="FFFFFF00"/>
      </right>
      <top style="thick">
        <color rgb="FFFFFF00"/>
      </top>
      <bottom style="thick">
        <color rgb="FFFFFF00"/>
      </bottom>
      <diagonal/>
    </border>
    <border>
      <left style="thin">
        <color theme="4" tint="0.39997558519241921"/>
      </left>
      <right/>
      <top style="thin">
        <color theme="4" tint="0.3999755851924192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dotted">
        <color auto="1"/>
      </right>
      <top style="thin">
        <color auto="1"/>
      </top>
      <bottom style="medium">
        <color auto="1"/>
      </bottom>
      <diagonal/>
    </border>
    <border>
      <left style="dotted">
        <color auto="1"/>
      </left>
      <right style="thin">
        <color auto="1"/>
      </right>
      <top style="thin">
        <color auto="1"/>
      </top>
      <bottom style="medium">
        <color auto="1"/>
      </bottom>
      <diagonal/>
    </border>
    <border>
      <left style="dotted">
        <color auto="1"/>
      </left>
      <right style="medium">
        <color auto="1"/>
      </right>
      <top style="thin">
        <color auto="1"/>
      </top>
      <bottom style="medium">
        <color auto="1"/>
      </bottom>
      <diagonal/>
    </border>
    <border>
      <left/>
      <right style="thin">
        <color auto="1"/>
      </right>
      <top style="thin">
        <color theme="6" tint="-0.499984740745262"/>
      </top>
      <bottom style="thin">
        <color theme="6" tint="-0.499984740745262"/>
      </bottom>
      <diagonal/>
    </border>
    <border>
      <left/>
      <right style="thin">
        <color theme="4" tint="0.39997558519241921"/>
      </right>
      <top style="thin">
        <color theme="4" tint="0.39997558519241921"/>
      </top>
      <bottom style="thin">
        <color theme="4" tint="0.39997558519241921"/>
      </bottom>
      <diagonal/>
    </border>
    <border>
      <left/>
      <right/>
      <top style="thick">
        <color rgb="FFFFFF00"/>
      </top>
      <bottom/>
      <diagonal/>
    </border>
    <border>
      <left style="thin">
        <color theme="0"/>
      </left>
      <right style="thin">
        <color theme="0"/>
      </right>
      <top/>
      <bottom style="thin">
        <color theme="0"/>
      </bottom>
      <diagonal/>
    </border>
    <border>
      <left/>
      <right style="thin">
        <color auto="1"/>
      </right>
      <top/>
      <bottom style="hair">
        <color auto="1"/>
      </bottom>
      <diagonal/>
    </border>
    <border>
      <left style="thin">
        <color auto="1"/>
      </left>
      <right style="thin">
        <color auto="1"/>
      </right>
      <top/>
      <bottom style="hair">
        <color auto="1"/>
      </bottom>
      <diagonal/>
    </border>
    <border>
      <left style="hair">
        <color indexed="64"/>
      </left>
      <right style="hair">
        <color indexed="64"/>
      </right>
      <top style="hair">
        <color indexed="64"/>
      </top>
      <bottom style="hair">
        <color indexed="64"/>
      </bottom>
      <diagonal/>
    </border>
    <border>
      <left/>
      <right style="thin">
        <color theme="0"/>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xf numFmtId="38" fontId="1" fillId="0" borderId="0" applyFont="0" applyFill="0" applyBorder="0" applyAlignment="0" applyProtection="0">
      <alignment vertical="center"/>
    </xf>
    <xf numFmtId="38" fontId="4" fillId="0" borderId="0" applyFont="0" applyFill="0" applyBorder="0" applyAlignment="0" applyProtection="0">
      <alignment vertical="center"/>
    </xf>
  </cellStyleXfs>
  <cellXfs count="78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8" fillId="0" borderId="0" xfId="0" applyFont="1" applyBorder="1">
      <alignment vertical="center"/>
    </xf>
    <xf numFmtId="0" fontId="7" fillId="0" borderId="0" xfId="0" applyFont="1" applyBorder="1">
      <alignment vertical="center"/>
    </xf>
    <xf numFmtId="0" fontId="5" fillId="0" borderId="0" xfId="0" applyFont="1" applyBorder="1" applyAlignment="1">
      <alignment horizontal="left" vertical="center"/>
    </xf>
    <xf numFmtId="176" fontId="5" fillId="0" borderId="0" xfId="0" applyNumberFormat="1" applyFont="1" applyBorder="1">
      <alignment vertical="center"/>
    </xf>
    <xf numFmtId="0" fontId="9" fillId="0" borderId="0" xfId="0" applyFont="1">
      <alignment vertical="center"/>
    </xf>
    <xf numFmtId="0" fontId="10" fillId="6" borderId="0" xfId="0" applyFont="1" applyFill="1" applyBorder="1" applyAlignment="1">
      <alignment horizontal="center" vertical="center"/>
    </xf>
    <xf numFmtId="0" fontId="10" fillId="6" borderId="0" xfId="0" applyFont="1" applyFill="1" applyBorder="1" applyAlignment="1">
      <alignment horizontal="center" vertical="center" wrapText="1"/>
    </xf>
    <xf numFmtId="0" fontId="9" fillId="0" borderId="0" xfId="0" applyFont="1" applyBorder="1">
      <alignment vertical="center"/>
    </xf>
    <xf numFmtId="176" fontId="9" fillId="0" borderId="0" xfId="0" applyNumberFormat="1" applyFont="1" applyBorder="1">
      <alignment vertical="center"/>
    </xf>
    <xf numFmtId="10" fontId="9" fillId="0" borderId="0" xfId="0" applyNumberFormat="1" applyFont="1" applyBorder="1" applyAlignment="1">
      <alignment horizontal="right" vertical="center" indent="1"/>
    </xf>
    <xf numFmtId="0" fontId="9" fillId="0" borderId="0" xfId="0" applyFont="1" applyAlignment="1">
      <alignment horizontal="left" vertical="center"/>
    </xf>
    <xf numFmtId="176" fontId="9" fillId="0" borderId="0" xfId="0" applyNumberFormat="1" applyFont="1">
      <alignment vertical="center"/>
    </xf>
    <xf numFmtId="10" fontId="9" fillId="0" borderId="0" xfId="0" applyNumberFormat="1" applyFont="1" applyAlignment="1">
      <alignment horizontal="right" vertical="center" indent="1"/>
    </xf>
    <xf numFmtId="0" fontId="8" fillId="2" borderId="40" xfId="0" applyFont="1" applyFill="1" applyBorder="1" applyAlignment="1">
      <alignment horizontal="left" vertical="center" indent="1"/>
    </xf>
    <xf numFmtId="10" fontId="9" fillId="0" borderId="0" xfId="0" applyNumberFormat="1" applyFont="1">
      <alignment vertical="center"/>
    </xf>
    <xf numFmtId="0" fontId="5" fillId="0" borderId="4" xfId="0" applyFont="1" applyBorder="1">
      <alignment vertical="center"/>
    </xf>
    <xf numFmtId="177" fontId="5" fillId="0" borderId="4" xfId="1" applyNumberFormat="1" applyFont="1" applyBorder="1">
      <alignment vertical="center"/>
    </xf>
    <xf numFmtId="0" fontId="5" fillId="0" borderId="0" xfId="0" applyFont="1" applyBorder="1">
      <alignment vertical="center"/>
    </xf>
    <xf numFmtId="38" fontId="5" fillId="0" borderId="0" xfId="0" applyNumberFormat="1" applyFont="1">
      <alignment vertical="center"/>
    </xf>
    <xf numFmtId="177" fontId="5" fillId="0" borderId="0" xfId="1" applyNumberFormat="1" applyFont="1" applyBorder="1">
      <alignment vertical="center"/>
    </xf>
    <xf numFmtId="3" fontId="9" fillId="0" borderId="0" xfId="0" applyNumberFormat="1" applyFont="1">
      <alignment vertical="center"/>
    </xf>
    <xf numFmtId="10" fontId="10" fillId="6" borderId="0" xfId="0" applyNumberFormat="1" applyFont="1" applyFill="1" applyBorder="1" applyAlignment="1">
      <alignment horizontal="center" vertical="center"/>
    </xf>
    <xf numFmtId="0" fontId="9" fillId="0" borderId="0" xfId="0" applyFont="1" applyBorder="1" applyAlignment="1">
      <alignment horizontal="left" vertical="center"/>
    </xf>
    <xf numFmtId="10" fontId="9" fillId="0" borderId="0" xfId="0" applyNumberFormat="1" applyFont="1" applyBorder="1" applyAlignment="1">
      <alignment horizontal="left" vertical="center"/>
    </xf>
    <xf numFmtId="0" fontId="10" fillId="6" borderId="0" xfId="0" applyFont="1" applyFill="1" applyBorder="1" applyAlignment="1">
      <alignment horizontal="left" vertical="center"/>
    </xf>
    <xf numFmtId="176" fontId="10" fillId="6" borderId="0" xfId="0" applyNumberFormat="1" applyFont="1" applyFill="1" applyBorder="1">
      <alignment vertical="center"/>
    </xf>
    <xf numFmtId="10" fontId="10" fillId="6" borderId="0" xfId="0" applyNumberFormat="1" applyFont="1" applyFill="1" applyBorder="1" applyAlignment="1">
      <alignment horizontal="right" vertical="center" indent="1"/>
    </xf>
    <xf numFmtId="0" fontId="9" fillId="0" borderId="0" xfId="0" applyNumberFormat="1" applyFont="1">
      <alignment vertical="center"/>
    </xf>
    <xf numFmtId="0" fontId="5" fillId="0" borderId="0" xfId="0" applyFont="1" applyAlignment="1">
      <alignment horizontal="center" vertical="center" wrapText="1"/>
    </xf>
    <xf numFmtId="0" fontId="11" fillId="3" borderId="0" xfId="0" applyFont="1" applyFill="1" applyAlignment="1">
      <alignment horizontal="right" vertical="center"/>
    </xf>
    <xf numFmtId="0" fontId="11" fillId="0" borderId="0" xfId="0" applyFont="1" applyAlignment="1">
      <alignment horizontal="center" vertical="center"/>
    </xf>
    <xf numFmtId="10" fontId="5" fillId="0" borderId="0" xfId="0" applyNumberFormat="1" applyFont="1" applyAlignment="1">
      <alignment horizontal="right" vertical="center" indent="1"/>
    </xf>
    <xf numFmtId="0" fontId="12" fillId="0" borderId="0" xfId="0" applyFont="1" applyAlignment="1">
      <alignment vertical="center" wrapText="1"/>
    </xf>
    <xf numFmtId="0" fontId="5" fillId="0" borderId="0" xfId="0" applyFont="1" applyAlignment="1">
      <alignment horizontal="left" vertical="center"/>
    </xf>
    <xf numFmtId="176" fontId="5" fillId="0" borderId="0" xfId="0" applyNumberFormat="1" applyFont="1">
      <alignment vertical="center"/>
    </xf>
    <xf numFmtId="176" fontId="11" fillId="0" borderId="0" xfId="0" applyNumberFormat="1" applyFont="1">
      <alignment vertical="center"/>
    </xf>
    <xf numFmtId="181" fontId="5" fillId="0" borderId="55" xfId="0" applyNumberFormat="1" applyFont="1" applyBorder="1" applyAlignment="1">
      <alignment vertical="center"/>
    </xf>
    <xf numFmtId="0" fontId="5" fillId="0" borderId="0" xfId="0" applyFont="1" applyAlignment="1">
      <alignment vertical="center"/>
    </xf>
    <xf numFmtId="0" fontId="11" fillId="0" borderId="0" xfId="0" applyFont="1">
      <alignment vertical="center"/>
    </xf>
    <xf numFmtId="0" fontId="5" fillId="0" borderId="0" xfId="0" applyNumberFormat="1" applyFont="1">
      <alignment vertical="center"/>
    </xf>
    <xf numFmtId="177" fontId="5" fillId="0" borderId="0" xfId="0" applyNumberFormat="1" applyFont="1">
      <alignment vertical="center"/>
    </xf>
    <xf numFmtId="0" fontId="8" fillId="6" borderId="0" xfId="0" applyFont="1" applyFill="1" applyBorder="1" applyAlignment="1">
      <alignment horizontal="center" vertical="center"/>
    </xf>
    <xf numFmtId="0" fontId="8" fillId="6" borderId="0" xfId="0" applyFont="1" applyFill="1" applyBorder="1" applyAlignment="1">
      <alignment horizontal="center" vertical="center" wrapText="1"/>
    </xf>
    <xf numFmtId="176" fontId="5" fillId="0" borderId="55" xfId="0" applyNumberFormat="1" applyFont="1" applyBorder="1" applyAlignment="1">
      <alignment vertical="center"/>
    </xf>
    <xf numFmtId="10" fontId="5" fillId="0" borderId="0" xfId="0" applyNumberFormat="1" applyFont="1" applyBorder="1" applyAlignment="1">
      <alignment horizontal="right" vertical="center" indent="1"/>
    </xf>
    <xf numFmtId="0" fontId="8" fillId="6" borderId="0" xfId="0" applyFont="1" applyFill="1" applyBorder="1" applyAlignment="1">
      <alignment horizontal="left" vertical="center"/>
    </xf>
    <xf numFmtId="176" fontId="8" fillId="6" borderId="0" xfId="0" applyNumberFormat="1" applyFont="1" applyFill="1" applyBorder="1">
      <alignment vertical="center"/>
    </xf>
    <xf numFmtId="10" fontId="8" fillId="6" borderId="0" xfId="0" applyNumberFormat="1" applyFont="1" applyFill="1" applyBorder="1" applyAlignment="1">
      <alignment horizontal="right" vertical="center" indent="1"/>
    </xf>
    <xf numFmtId="0" fontId="11" fillId="3" borderId="0" xfId="0" applyFont="1" applyFill="1" applyAlignment="1">
      <alignment horizontal="center" vertical="center"/>
    </xf>
    <xf numFmtId="0" fontId="11" fillId="3" borderId="0" xfId="0" applyFont="1" applyFill="1">
      <alignment vertical="center"/>
    </xf>
    <xf numFmtId="0" fontId="11" fillId="0" borderId="0" xfId="0" applyFont="1" applyAlignment="1">
      <alignment vertical="center"/>
    </xf>
    <xf numFmtId="0" fontId="11" fillId="3" borderId="0" xfId="0" applyFont="1" applyFill="1" applyAlignment="1">
      <alignment horizontal="left" vertical="center"/>
    </xf>
    <xf numFmtId="0" fontId="5" fillId="0" borderId="7" xfId="0" applyFont="1" applyBorder="1">
      <alignment vertical="center"/>
    </xf>
    <xf numFmtId="0" fontId="8" fillId="0" borderId="0" xfId="0" applyFont="1" applyFill="1" applyBorder="1" applyAlignment="1">
      <alignment horizontal="left" vertical="center" indent="1"/>
    </xf>
    <xf numFmtId="0" fontId="5" fillId="0" borderId="0" xfId="0" applyFont="1" applyFill="1" applyBorder="1">
      <alignment vertical="center"/>
    </xf>
    <xf numFmtId="0" fontId="5" fillId="0" borderId="55" xfId="0" applyFont="1" applyBorder="1">
      <alignment vertical="center"/>
    </xf>
    <xf numFmtId="176" fontId="17" fillId="0" borderId="0" xfId="0" applyNumberFormat="1" applyFont="1">
      <alignment vertical="center"/>
    </xf>
    <xf numFmtId="0" fontId="11" fillId="3" borderId="0" xfId="0" applyFont="1" applyFill="1" applyAlignment="1">
      <alignment horizontal="center" vertical="center" wrapText="1"/>
    </xf>
    <xf numFmtId="176" fontId="5" fillId="0" borderId="13" xfId="0" applyNumberFormat="1" applyFont="1" applyBorder="1">
      <alignment vertical="center"/>
    </xf>
    <xf numFmtId="177" fontId="5" fillId="0" borderId="14" xfId="0" applyNumberFormat="1" applyFont="1" applyBorder="1" applyAlignment="1">
      <alignment horizontal="right" vertical="center"/>
    </xf>
    <xf numFmtId="176" fontId="5" fillId="0" borderId="15" xfId="0" applyNumberFormat="1" applyFont="1" applyBorder="1">
      <alignment vertical="center"/>
    </xf>
    <xf numFmtId="176" fontId="5" fillId="0" borderId="55" xfId="0" applyNumberFormat="1" applyFont="1" applyBorder="1">
      <alignment vertical="center"/>
    </xf>
    <xf numFmtId="179" fontId="5" fillId="0" borderId="0" xfId="0" applyNumberFormat="1" applyFont="1">
      <alignment vertical="center"/>
    </xf>
    <xf numFmtId="176" fontId="5" fillId="0" borderId="36" xfId="0" applyNumberFormat="1" applyFont="1" applyBorder="1">
      <alignment vertical="center"/>
    </xf>
    <xf numFmtId="177" fontId="5" fillId="0" borderId="18" xfId="0" applyNumberFormat="1" applyFont="1" applyBorder="1" applyAlignment="1">
      <alignment horizontal="right" vertical="center"/>
    </xf>
    <xf numFmtId="176" fontId="5" fillId="0" borderId="17" xfId="0" applyNumberFormat="1" applyFont="1" applyBorder="1">
      <alignment vertical="center"/>
    </xf>
    <xf numFmtId="176" fontId="5" fillId="0" borderId="38" xfId="0" applyNumberFormat="1" applyFont="1" applyBorder="1">
      <alignment vertical="center"/>
    </xf>
    <xf numFmtId="176" fontId="5" fillId="0" borderId="37" xfId="0" applyNumberFormat="1" applyFont="1" applyBorder="1">
      <alignment vertical="center"/>
    </xf>
    <xf numFmtId="177" fontId="5" fillId="0" borderId="35" xfId="0" applyNumberFormat="1" applyFont="1" applyBorder="1" applyAlignment="1">
      <alignment horizontal="right" vertical="center"/>
    </xf>
    <xf numFmtId="176" fontId="5" fillId="0" borderId="19" xfId="0" applyNumberFormat="1" applyFont="1" applyBorder="1">
      <alignment vertical="center"/>
    </xf>
    <xf numFmtId="177" fontId="5" fillId="0" borderId="61" xfId="0" applyNumberFormat="1" applyFont="1" applyBorder="1" applyAlignment="1">
      <alignment horizontal="right" vertical="center"/>
    </xf>
    <xf numFmtId="177" fontId="5" fillId="0" borderId="16" xfId="0" applyNumberFormat="1" applyFont="1" applyBorder="1" applyAlignment="1">
      <alignment horizontal="right" vertical="center"/>
    </xf>
    <xf numFmtId="177" fontId="5" fillId="0" borderId="20" xfId="0" applyNumberFormat="1" applyFont="1" applyBorder="1" applyAlignment="1">
      <alignment horizontal="right" vertical="center"/>
    </xf>
    <xf numFmtId="0" fontId="5" fillId="0" borderId="42" xfId="0" applyFont="1" applyBorder="1">
      <alignment vertical="center"/>
    </xf>
    <xf numFmtId="0" fontId="8" fillId="6" borderId="0" xfId="0" applyFont="1" applyFill="1" applyAlignment="1">
      <alignment horizontal="left" vertical="center"/>
    </xf>
    <xf numFmtId="38" fontId="8" fillId="6" borderId="0" xfId="0" applyNumberFormat="1" applyFont="1" applyFill="1">
      <alignment vertical="center"/>
    </xf>
    <xf numFmtId="179" fontId="5" fillId="0" borderId="0" xfId="0" applyNumberFormat="1" applyFont="1" applyBorder="1">
      <alignment vertical="center"/>
    </xf>
    <xf numFmtId="177" fontId="5" fillId="0" borderId="34" xfId="0" applyNumberFormat="1" applyFont="1" applyBorder="1" applyAlignment="1">
      <alignment horizontal="right" vertical="center"/>
    </xf>
    <xf numFmtId="0" fontId="11" fillId="3" borderId="0" xfId="0" applyFont="1" applyFill="1" applyBorder="1">
      <alignment vertical="center"/>
    </xf>
    <xf numFmtId="0" fontId="11" fillId="3" borderId="0" xfId="0" applyFont="1" applyFill="1" applyBorder="1" applyAlignment="1">
      <alignment horizontal="center" vertical="center"/>
    </xf>
    <xf numFmtId="38" fontId="8" fillId="6" borderId="0" xfId="0" applyNumberFormat="1" applyFont="1" applyFill="1" applyBorder="1">
      <alignment vertical="center"/>
    </xf>
    <xf numFmtId="38" fontId="5" fillId="0" borderId="0" xfId="0" applyNumberFormat="1" applyFont="1" applyBorder="1">
      <alignment vertical="center"/>
    </xf>
    <xf numFmtId="0" fontId="11" fillId="0" borderId="0" xfId="0" applyFont="1" applyAlignment="1">
      <alignment vertical="center" wrapText="1"/>
    </xf>
    <xf numFmtId="0" fontId="15" fillId="0" borderId="23" xfId="0" applyFont="1" applyBorder="1" applyAlignment="1">
      <alignment vertical="center" wrapText="1"/>
    </xf>
    <xf numFmtId="176" fontId="8" fillId="0" borderId="15" xfId="0" applyNumberFormat="1" applyFont="1" applyBorder="1">
      <alignment vertical="center"/>
    </xf>
    <xf numFmtId="177" fontId="8" fillId="0" borderId="16" xfId="0" applyNumberFormat="1" applyFont="1" applyBorder="1" applyAlignment="1">
      <alignment horizontal="right" vertical="center"/>
    </xf>
    <xf numFmtId="0" fontId="16" fillId="0" borderId="25" xfId="0" applyFont="1" applyBorder="1" applyAlignment="1">
      <alignment vertical="center" shrinkToFit="1"/>
    </xf>
    <xf numFmtId="0" fontId="16" fillId="0" borderId="25" xfId="0" applyFont="1" applyBorder="1">
      <alignment vertical="center"/>
    </xf>
    <xf numFmtId="0" fontId="15" fillId="4" borderId="5" xfId="0" applyFont="1" applyFill="1" applyBorder="1" applyAlignment="1">
      <alignment horizontal="left" vertical="center"/>
    </xf>
    <xf numFmtId="176" fontId="8" fillId="4" borderId="57" xfId="0" applyNumberFormat="1" applyFont="1" applyFill="1" applyBorder="1">
      <alignment vertical="center"/>
    </xf>
    <xf numFmtId="177" fontId="8" fillId="4" borderId="22" xfId="0" applyNumberFormat="1" applyFont="1" applyFill="1" applyBorder="1" applyAlignment="1">
      <alignment horizontal="right" vertical="center"/>
    </xf>
    <xf numFmtId="182" fontId="8" fillId="4" borderId="63" xfId="0" applyNumberFormat="1" applyFont="1" applyFill="1" applyBorder="1" applyAlignment="1">
      <alignment horizontal="right" vertical="center"/>
    </xf>
    <xf numFmtId="0" fontId="8" fillId="0" borderId="0" xfId="0" applyFont="1" applyBorder="1" applyAlignment="1">
      <alignment horizontal="left" vertical="center"/>
    </xf>
    <xf numFmtId="176" fontId="8" fillId="0" borderId="0" xfId="0" applyNumberFormat="1" applyFont="1" applyBorder="1">
      <alignment vertical="center"/>
    </xf>
    <xf numFmtId="177" fontId="8" fillId="0" borderId="0" xfId="0" applyNumberFormat="1" applyFont="1" applyBorder="1" applyAlignment="1">
      <alignment horizontal="right" vertical="center"/>
    </xf>
    <xf numFmtId="182" fontId="8" fillId="0" borderId="0" xfId="0" applyNumberFormat="1" applyFont="1" applyBorder="1" applyAlignment="1">
      <alignment horizontal="right" vertical="center"/>
    </xf>
    <xf numFmtId="0" fontId="15" fillId="4" borderId="5" xfId="0" applyFont="1" applyFill="1" applyBorder="1" applyAlignment="1">
      <alignment horizontal="center" vertical="center"/>
    </xf>
    <xf numFmtId="0" fontId="15" fillId="0" borderId="23" xfId="0" applyFont="1" applyBorder="1">
      <alignment vertical="center"/>
    </xf>
    <xf numFmtId="0" fontId="15" fillId="4" borderId="5" xfId="0" applyFont="1" applyFill="1" applyBorder="1">
      <alignment vertical="center"/>
    </xf>
    <xf numFmtId="0" fontId="13" fillId="0" borderId="10" xfId="0" applyFont="1" applyBorder="1" applyAlignment="1">
      <alignment horizontal="left" vertical="center" wrapText="1" indent="1"/>
    </xf>
    <xf numFmtId="0" fontId="13" fillId="0" borderId="11" xfId="0" applyFont="1" applyBorder="1" applyAlignment="1">
      <alignment horizontal="left" vertical="center" indent="1"/>
    </xf>
    <xf numFmtId="176" fontId="5" fillId="0" borderId="39" xfId="0" applyNumberFormat="1" applyFont="1" applyBorder="1">
      <alignment vertical="center"/>
    </xf>
    <xf numFmtId="0" fontId="13" fillId="0" borderId="12" xfId="0" applyFont="1" applyBorder="1" applyAlignment="1">
      <alignment horizontal="left" vertical="center" indent="1"/>
    </xf>
    <xf numFmtId="0" fontId="15" fillId="0" borderId="10" xfId="0" applyFont="1" applyBorder="1" applyAlignment="1">
      <alignment vertical="center" wrapText="1"/>
    </xf>
    <xf numFmtId="176" fontId="8" fillId="0" borderId="56" xfId="0" applyNumberFormat="1" applyFont="1" applyBorder="1">
      <alignment vertical="center"/>
    </xf>
    <xf numFmtId="177" fontId="8" fillId="0" borderId="14" xfId="0" applyNumberFormat="1" applyFont="1" applyBorder="1" applyAlignment="1">
      <alignment horizontal="right" vertical="center"/>
    </xf>
    <xf numFmtId="0" fontId="16" fillId="0" borderId="11" xfId="0" applyFont="1" applyBorder="1" applyAlignment="1">
      <alignment vertical="center" shrinkToFit="1"/>
    </xf>
    <xf numFmtId="176" fontId="5" fillId="0" borderId="50" xfId="0" applyNumberFormat="1" applyFont="1" applyBorder="1">
      <alignment vertical="center"/>
    </xf>
    <xf numFmtId="0" fontId="16" fillId="0" borderId="45" xfId="0" applyFont="1" applyBorder="1">
      <alignment vertical="center"/>
    </xf>
    <xf numFmtId="176" fontId="5" fillId="0" borderId="53" xfId="0" applyNumberFormat="1" applyFont="1" applyBorder="1">
      <alignment vertical="center"/>
    </xf>
    <xf numFmtId="0" fontId="8" fillId="4" borderId="5" xfId="0" applyFont="1" applyFill="1" applyBorder="1" applyAlignment="1">
      <alignment horizontal="left" vertical="center"/>
    </xf>
    <xf numFmtId="182" fontId="8" fillId="4" borderId="21" xfId="0" applyNumberFormat="1" applyFont="1" applyFill="1" applyBorder="1" applyAlignment="1">
      <alignment horizontal="right" vertical="center"/>
    </xf>
    <xf numFmtId="177" fontId="8" fillId="4" borderId="27" xfId="0" applyNumberFormat="1" applyFont="1" applyFill="1" applyBorder="1" applyAlignment="1">
      <alignment horizontal="right" vertical="center"/>
    </xf>
    <xf numFmtId="0" fontId="15" fillId="0" borderId="10" xfId="0" applyFont="1" applyBorder="1">
      <alignment vertical="center"/>
    </xf>
    <xf numFmtId="0" fontId="16" fillId="0" borderId="11" xfId="0" applyFont="1" applyBorder="1">
      <alignment vertical="center"/>
    </xf>
    <xf numFmtId="176" fontId="5" fillId="0" borderId="52" xfId="0" applyNumberFormat="1" applyFont="1" applyBorder="1">
      <alignment vertical="center"/>
    </xf>
    <xf numFmtId="176" fontId="5" fillId="0" borderId="58" xfId="0" applyNumberFormat="1" applyFont="1" applyBorder="1">
      <alignment vertical="center"/>
    </xf>
    <xf numFmtId="0" fontId="5" fillId="0" borderId="3" xfId="0" applyFont="1" applyBorder="1">
      <alignment vertical="center"/>
    </xf>
    <xf numFmtId="0" fontId="16" fillId="0" borderId="24" xfId="0" applyFont="1" applyBorder="1">
      <alignment vertical="center"/>
    </xf>
    <xf numFmtId="176" fontId="5" fillId="0" borderId="60" xfId="0" applyNumberFormat="1" applyFont="1" applyBorder="1">
      <alignment vertical="center"/>
    </xf>
    <xf numFmtId="177" fontId="5" fillId="0" borderId="64" xfId="0" applyNumberFormat="1" applyFont="1" applyBorder="1" applyAlignment="1">
      <alignment horizontal="right" vertical="center"/>
    </xf>
    <xf numFmtId="176" fontId="5" fillId="0" borderId="54" xfId="0" applyNumberFormat="1" applyFont="1" applyBorder="1">
      <alignment vertical="center"/>
    </xf>
    <xf numFmtId="176" fontId="5" fillId="0" borderId="51" xfId="0" applyNumberFormat="1" applyFont="1" applyBorder="1">
      <alignment vertical="center"/>
    </xf>
    <xf numFmtId="176" fontId="5" fillId="0" borderId="59" xfId="0" applyNumberFormat="1" applyFont="1" applyBorder="1">
      <alignment vertical="center"/>
    </xf>
    <xf numFmtId="179" fontId="5" fillId="0" borderId="4" xfId="0" applyNumberFormat="1" applyFont="1" applyBorder="1">
      <alignment vertical="center"/>
    </xf>
    <xf numFmtId="0" fontId="5" fillId="0" borderId="62" xfId="0" applyFont="1" applyBorder="1">
      <alignment vertical="center"/>
    </xf>
    <xf numFmtId="0" fontId="15" fillId="4" borderId="8" xfId="0" applyFont="1" applyFill="1" applyBorder="1" applyAlignment="1">
      <alignment horizontal="center" vertical="center"/>
    </xf>
    <xf numFmtId="0" fontId="16" fillId="0" borderId="10" xfId="0" applyFont="1" applyBorder="1" applyAlignment="1">
      <alignment horizontal="left" vertical="center" wrapText="1" indent="1"/>
    </xf>
    <xf numFmtId="0" fontId="16" fillId="0" borderId="11" xfId="0" applyFont="1" applyBorder="1" applyAlignment="1">
      <alignment horizontal="left" vertical="center" indent="1"/>
    </xf>
    <xf numFmtId="0" fontId="16" fillId="0" borderId="12" xfId="0" applyFont="1" applyBorder="1" applyAlignment="1">
      <alignment horizontal="left" vertical="center" indent="1"/>
    </xf>
    <xf numFmtId="0" fontId="15" fillId="4" borderId="26" xfId="0" applyFont="1" applyFill="1" applyBorder="1" applyAlignment="1">
      <alignment horizontal="center" vertical="center"/>
    </xf>
    <xf numFmtId="0" fontId="8" fillId="0" borderId="0" xfId="0" applyFont="1" applyFill="1" applyBorder="1" applyAlignment="1">
      <alignment horizontal="left" vertical="center"/>
    </xf>
    <xf numFmtId="38" fontId="8" fillId="0" borderId="0" xfId="0" applyNumberFormat="1" applyFont="1" applyFill="1" applyBorder="1">
      <alignment vertical="center"/>
    </xf>
    <xf numFmtId="177" fontId="8" fillId="0" borderId="0" xfId="1" applyNumberFormat="1" applyFont="1" applyFill="1" applyBorder="1">
      <alignment vertical="center"/>
    </xf>
    <xf numFmtId="0" fontId="5" fillId="0" borderId="0" xfId="0" applyFont="1" applyFill="1">
      <alignment vertical="center"/>
    </xf>
    <xf numFmtId="0" fontId="13" fillId="0" borderId="0" xfId="0" applyFont="1" applyBorder="1" applyAlignment="1">
      <alignment horizontal="left" vertical="center"/>
    </xf>
    <xf numFmtId="38" fontId="5" fillId="0" borderId="4" xfId="0" applyNumberFormat="1" applyFont="1" applyBorder="1">
      <alignment vertical="center"/>
    </xf>
    <xf numFmtId="0" fontId="5" fillId="0" borderId="0" xfId="0" applyFont="1" applyAlignment="1">
      <alignment horizontal="center" vertical="center"/>
    </xf>
    <xf numFmtId="0" fontId="8" fillId="0" borderId="0" xfId="0" applyFont="1" applyFill="1">
      <alignment vertical="center"/>
    </xf>
    <xf numFmtId="177" fontId="5" fillId="0" borderId="0" xfId="1" applyNumberFormat="1" applyFont="1">
      <alignment vertical="center"/>
    </xf>
    <xf numFmtId="177" fontId="5" fillId="8" borderId="0" xfId="1" applyNumberFormat="1" applyFont="1" applyFill="1">
      <alignment vertical="center"/>
    </xf>
    <xf numFmtId="38" fontId="5" fillId="0" borderId="0" xfId="7" applyFont="1">
      <alignment vertical="center"/>
    </xf>
    <xf numFmtId="177" fontId="8" fillId="8" borderId="0" xfId="1" applyNumberFormat="1" applyFont="1" applyFill="1">
      <alignment vertical="center"/>
    </xf>
    <xf numFmtId="0" fontId="5" fillId="8" borderId="0" xfId="0" applyFont="1" applyFill="1">
      <alignment vertical="center"/>
    </xf>
    <xf numFmtId="10" fontId="5" fillId="0" borderId="0" xfId="0" applyNumberFormat="1" applyFont="1">
      <alignment vertical="center"/>
    </xf>
    <xf numFmtId="0" fontId="5" fillId="7" borderId="0" xfId="0" applyFont="1" applyFill="1">
      <alignment vertical="center"/>
    </xf>
    <xf numFmtId="0" fontId="8" fillId="0" borderId="0" xfId="0" applyFont="1" applyAlignment="1">
      <alignment horizontal="center" vertical="center" wrapText="1"/>
    </xf>
    <xf numFmtId="0" fontId="8" fillId="8" borderId="0" xfId="0" applyFont="1" applyFill="1" applyBorder="1">
      <alignment vertical="center"/>
    </xf>
    <xf numFmtId="176" fontId="8" fillId="8" borderId="5" xfId="0" applyNumberFormat="1" applyFont="1" applyFill="1" applyBorder="1">
      <alignment vertical="center"/>
    </xf>
    <xf numFmtId="177" fontId="8" fillId="8" borderId="5" xfId="0" applyNumberFormat="1" applyFont="1" applyFill="1" applyBorder="1">
      <alignment vertical="center"/>
    </xf>
    <xf numFmtId="177" fontId="8" fillId="8" borderId="0" xfId="0" applyNumberFormat="1" applyFont="1" applyFill="1" applyBorder="1">
      <alignment vertical="center"/>
    </xf>
    <xf numFmtId="176" fontId="8" fillId="8" borderId="5" xfId="7" applyNumberFormat="1" applyFont="1" applyFill="1" applyBorder="1">
      <alignment vertical="center"/>
    </xf>
    <xf numFmtId="177" fontId="8" fillId="0" borderId="5" xfId="1" applyNumberFormat="1" applyFont="1" applyBorder="1">
      <alignment vertical="center"/>
    </xf>
    <xf numFmtId="0" fontId="5" fillId="0" borderId="0" xfId="0" applyFont="1" applyAlignment="1">
      <alignment horizontal="right" vertical="center"/>
    </xf>
    <xf numFmtId="0" fontId="13" fillId="8" borderId="42" xfId="0" applyFont="1" applyFill="1" applyBorder="1" applyAlignment="1">
      <alignment vertical="center"/>
    </xf>
    <xf numFmtId="0" fontId="12" fillId="0" borderId="6" xfId="0" applyFont="1" applyBorder="1" applyAlignment="1">
      <alignment vertical="center" wrapText="1"/>
    </xf>
    <xf numFmtId="182" fontId="5" fillId="0" borderId="55" xfId="0" applyNumberFormat="1" applyFont="1" applyBorder="1">
      <alignment vertical="center"/>
    </xf>
    <xf numFmtId="0" fontId="12" fillId="0" borderId="11" xfId="0" applyFont="1" applyBorder="1" applyAlignment="1">
      <alignment vertical="center" wrapText="1"/>
    </xf>
    <xf numFmtId="0" fontId="13" fillId="8" borderId="44" xfId="0" applyFont="1" applyFill="1" applyBorder="1" applyAlignment="1">
      <alignment vertical="center"/>
    </xf>
    <xf numFmtId="0" fontId="12" fillId="0" borderId="29" xfId="0" applyFont="1" applyBorder="1" applyAlignment="1">
      <alignment vertical="center" wrapText="1"/>
    </xf>
    <xf numFmtId="176" fontId="8" fillId="0" borderId="5" xfId="7" applyNumberFormat="1" applyFont="1" applyBorder="1">
      <alignment vertical="center"/>
    </xf>
    <xf numFmtId="177" fontId="8" fillId="0" borderId="0" xfId="1" applyNumberFormat="1" applyFont="1" applyBorder="1">
      <alignment vertical="center"/>
    </xf>
    <xf numFmtId="177" fontId="8" fillId="8" borderId="0" xfId="1" applyNumberFormat="1" applyFont="1" applyFill="1" applyBorder="1">
      <alignment vertical="center"/>
    </xf>
    <xf numFmtId="176" fontId="8" fillId="0" borderId="5" xfId="0" applyNumberFormat="1" applyFont="1" applyFill="1" applyBorder="1">
      <alignment vertical="center"/>
    </xf>
    <xf numFmtId="177" fontId="8" fillId="0" borderId="5" xfId="1" applyNumberFormat="1" applyFont="1" applyFill="1" applyBorder="1">
      <alignment vertical="center"/>
    </xf>
    <xf numFmtId="176" fontId="8" fillId="0" borderId="5" xfId="7" applyNumberFormat="1" applyFont="1" applyFill="1" applyBorder="1">
      <alignment vertical="center"/>
    </xf>
    <xf numFmtId="176" fontId="8" fillId="0" borderId="5" xfId="0" applyNumberFormat="1" applyFont="1" applyBorder="1">
      <alignment vertical="center"/>
    </xf>
    <xf numFmtId="0" fontId="5" fillId="0" borderId="0" xfId="0" applyFont="1" applyBorder="1" applyAlignment="1">
      <alignment horizontal="left" vertical="center" wrapText="1"/>
    </xf>
    <xf numFmtId="0" fontId="5" fillId="5" borderId="0" xfId="0" applyFont="1" applyFill="1" applyBorder="1" applyAlignment="1">
      <alignment horizontal="left" vertical="center" wrapText="1"/>
    </xf>
    <xf numFmtId="177" fontId="5" fillId="0" borderId="0" xfId="0" applyNumberFormat="1" applyFont="1" applyAlignment="1">
      <alignment horizontal="right" vertical="center" indent="1"/>
    </xf>
    <xf numFmtId="176" fontId="5" fillId="0" borderId="0" xfId="0" applyNumberFormat="1" applyFont="1" applyFill="1">
      <alignment vertical="center"/>
    </xf>
    <xf numFmtId="177" fontId="5" fillId="0" borderId="0" xfId="1" applyNumberFormat="1" applyFont="1" applyFill="1">
      <alignment vertical="center"/>
    </xf>
    <xf numFmtId="176" fontId="5" fillId="7" borderId="0" xfId="0" applyNumberFormat="1" applyFont="1" applyFill="1">
      <alignment vertical="center"/>
    </xf>
    <xf numFmtId="177" fontId="5" fillId="7" borderId="0" xfId="1" applyNumberFormat="1" applyFont="1" applyFill="1">
      <alignment vertical="center"/>
    </xf>
    <xf numFmtId="176" fontId="5" fillId="0" borderId="0" xfId="0" applyNumberFormat="1" applyFont="1" applyFill="1" applyBorder="1">
      <alignment vertical="center"/>
    </xf>
    <xf numFmtId="176" fontId="8" fillId="0" borderId="0" xfId="0" applyNumberFormat="1" applyFont="1" applyFill="1" applyBorder="1" applyAlignment="1">
      <alignment horizontal="right" vertical="center"/>
    </xf>
    <xf numFmtId="177" fontId="8" fillId="0" borderId="0" xfId="1" applyNumberFormat="1" applyFont="1" applyFill="1" applyBorder="1" applyAlignment="1">
      <alignment horizontal="right" vertical="center"/>
    </xf>
    <xf numFmtId="0" fontId="5" fillId="0" borderId="0" xfId="0" applyFont="1" applyFill="1" applyAlignment="1">
      <alignment horizontal="left" vertical="center"/>
    </xf>
    <xf numFmtId="38" fontId="5" fillId="0" borderId="0" xfId="0" applyNumberFormat="1" applyFont="1" applyFill="1">
      <alignment vertical="center"/>
    </xf>
    <xf numFmtId="0" fontId="5" fillId="0" borderId="0" xfId="0" applyFont="1" applyBorder="1" applyAlignment="1">
      <alignment horizontal="center" vertical="center"/>
    </xf>
    <xf numFmtId="176" fontId="5"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0" fontId="5" fillId="0" borderId="0" xfId="0" applyFont="1" applyBorder="1" applyAlignment="1">
      <alignment horizontal="right" vertical="center" wrapText="1"/>
    </xf>
    <xf numFmtId="0" fontId="5" fillId="5" borderId="0" xfId="0" applyFont="1" applyFill="1" applyBorder="1" applyAlignment="1">
      <alignment horizontal="right" vertical="center" wrapText="1"/>
    </xf>
    <xf numFmtId="0" fontId="5" fillId="0" borderId="0" xfId="0" applyFont="1" applyBorder="1" applyAlignment="1">
      <alignment horizontal="right" vertical="center"/>
    </xf>
    <xf numFmtId="0" fontId="8" fillId="6" borderId="30" xfId="0" applyFont="1" applyFill="1" applyBorder="1" applyAlignment="1">
      <alignment horizontal="center" vertical="center" wrapText="1"/>
    </xf>
    <xf numFmtId="0" fontId="8" fillId="6" borderId="31" xfId="0" applyFont="1" applyFill="1" applyBorder="1" applyAlignment="1">
      <alignment horizontal="left" vertical="center"/>
    </xf>
    <xf numFmtId="176" fontId="8" fillId="6" borderId="31" xfId="0" applyNumberFormat="1" applyFont="1" applyFill="1" applyBorder="1">
      <alignment vertical="center"/>
    </xf>
    <xf numFmtId="10" fontId="8" fillId="6" borderId="31" xfId="0" applyNumberFormat="1" applyFont="1" applyFill="1" applyBorder="1" applyAlignment="1">
      <alignment horizontal="right" vertical="center" indent="1"/>
    </xf>
    <xf numFmtId="0" fontId="18" fillId="0" borderId="0" xfId="0" applyFont="1">
      <alignment vertical="center"/>
    </xf>
    <xf numFmtId="38" fontId="5" fillId="0" borderId="0" xfId="0" applyNumberFormat="1" applyFont="1" applyFill="1" applyBorder="1">
      <alignment vertical="center"/>
    </xf>
    <xf numFmtId="0" fontId="5" fillId="0" borderId="32" xfId="0" applyFont="1" applyBorder="1">
      <alignment vertical="center"/>
    </xf>
    <xf numFmtId="0" fontId="5" fillId="0" borderId="32" xfId="0" applyFont="1" applyBorder="1" applyAlignment="1">
      <alignment horizontal="left" vertical="center"/>
    </xf>
    <xf numFmtId="38" fontId="5" fillId="0" borderId="32" xfId="0" applyNumberFormat="1" applyFont="1" applyBorder="1">
      <alignment vertical="center"/>
    </xf>
    <xf numFmtId="0" fontId="5" fillId="0" borderId="33" xfId="0" applyFont="1" applyBorder="1">
      <alignment vertical="center"/>
    </xf>
    <xf numFmtId="0" fontId="5" fillId="0" borderId="33" xfId="0" applyFont="1" applyBorder="1" applyAlignment="1">
      <alignment horizontal="left" vertical="center"/>
    </xf>
    <xf numFmtId="38" fontId="5" fillId="0" borderId="33" xfId="0" applyNumberFormat="1" applyFont="1" applyBorder="1">
      <alignment vertical="center"/>
    </xf>
    <xf numFmtId="0" fontId="5" fillId="0" borderId="0" xfId="0" applyFont="1" applyFill="1" applyBorder="1" applyAlignment="1">
      <alignment horizontal="left" vertical="center"/>
    </xf>
    <xf numFmtId="10" fontId="5" fillId="0" borderId="0" xfId="0" applyNumberFormat="1" applyFont="1" applyBorder="1">
      <alignment vertical="center"/>
    </xf>
    <xf numFmtId="10" fontId="8" fillId="6" borderId="0" xfId="0" applyNumberFormat="1" applyFont="1" applyFill="1" applyBorder="1">
      <alignment vertical="center"/>
    </xf>
    <xf numFmtId="176" fontId="8" fillId="0" borderId="15" xfId="0" applyNumberFormat="1" applyFont="1" applyBorder="1" applyAlignment="1">
      <alignment vertical="center" shrinkToFit="1"/>
    </xf>
    <xf numFmtId="177" fontId="8" fillId="0" borderId="14" xfId="0" applyNumberFormat="1" applyFont="1" applyBorder="1" applyAlignment="1">
      <alignment horizontal="right" vertical="center" shrinkToFit="1"/>
    </xf>
    <xf numFmtId="177" fontId="8" fillId="0" borderId="16" xfId="0" applyNumberFormat="1" applyFont="1" applyBorder="1" applyAlignment="1">
      <alignment horizontal="right" vertical="center" shrinkToFit="1"/>
    </xf>
    <xf numFmtId="176" fontId="5" fillId="0" borderId="17" xfId="0" applyNumberFormat="1" applyFont="1" applyBorder="1" applyAlignment="1">
      <alignment vertical="center" shrinkToFit="1"/>
    </xf>
    <xf numFmtId="177" fontId="5" fillId="0" borderId="18" xfId="0" applyNumberFormat="1" applyFont="1" applyBorder="1" applyAlignment="1">
      <alignment horizontal="right" vertical="center" shrinkToFit="1"/>
    </xf>
    <xf numFmtId="177" fontId="5" fillId="0" borderId="61" xfId="0" applyNumberFormat="1" applyFont="1" applyBorder="1" applyAlignment="1">
      <alignment horizontal="right" vertical="center" shrinkToFit="1"/>
    </xf>
    <xf numFmtId="176" fontId="5" fillId="0" borderId="19" xfId="0" applyNumberFormat="1" applyFont="1" applyBorder="1" applyAlignment="1">
      <alignment vertical="center" shrinkToFit="1"/>
    </xf>
    <xf numFmtId="177" fontId="5" fillId="0" borderId="34" xfId="0" applyNumberFormat="1" applyFont="1" applyBorder="1" applyAlignment="1">
      <alignment horizontal="right" vertical="center" shrinkToFit="1"/>
    </xf>
    <xf numFmtId="177" fontId="5" fillId="0" borderId="20" xfId="0" applyNumberFormat="1" applyFont="1" applyBorder="1" applyAlignment="1">
      <alignment horizontal="right" vertical="center" shrinkToFit="1"/>
    </xf>
    <xf numFmtId="176" fontId="8" fillId="4" borderId="57" xfId="0" applyNumberFormat="1" applyFont="1" applyFill="1" applyBorder="1" applyAlignment="1">
      <alignment vertical="center" shrinkToFit="1"/>
    </xf>
    <xf numFmtId="177" fontId="8" fillId="4" borderId="22" xfId="0" applyNumberFormat="1" applyFont="1" applyFill="1" applyBorder="1" applyAlignment="1">
      <alignment horizontal="right" vertical="center" shrinkToFit="1"/>
    </xf>
    <xf numFmtId="182" fontId="8" fillId="4" borderId="63" xfId="0" applyNumberFormat="1" applyFont="1" applyFill="1" applyBorder="1" applyAlignment="1">
      <alignment horizontal="right" vertical="center" shrinkToFit="1"/>
    </xf>
    <xf numFmtId="176" fontId="8" fillId="0" borderId="0" xfId="0" applyNumberFormat="1" applyFont="1" applyBorder="1" applyAlignment="1">
      <alignment vertical="center" shrinkToFit="1"/>
    </xf>
    <xf numFmtId="177" fontId="8" fillId="0" borderId="0" xfId="0" applyNumberFormat="1" applyFont="1" applyBorder="1" applyAlignment="1">
      <alignment horizontal="right" vertical="center" shrinkToFit="1"/>
    </xf>
    <xf numFmtId="182" fontId="8" fillId="0" borderId="0" xfId="0" applyNumberFormat="1" applyFont="1" applyBorder="1" applyAlignment="1">
      <alignment horizontal="right" vertical="center" shrinkToFit="1"/>
    </xf>
    <xf numFmtId="176" fontId="5" fillId="4" borderId="26" xfId="0" applyNumberFormat="1" applyFont="1" applyFill="1" applyBorder="1" applyAlignment="1">
      <alignment vertical="center" shrinkToFit="1"/>
    </xf>
    <xf numFmtId="176" fontId="5" fillId="4" borderId="28" xfId="0" applyNumberFormat="1" applyFont="1" applyFill="1" applyBorder="1" applyAlignment="1">
      <alignment vertical="center" shrinkToFit="1"/>
    </xf>
    <xf numFmtId="176" fontId="5" fillId="4" borderId="27" xfId="0" applyNumberFormat="1" applyFont="1" applyFill="1" applyBorder="1" applyAlignment="1">
      <alignment vertical="center" shrinkToFit="1"/>
    </xf>
    <xf numFmtId="176" fontId="5" fillId="0" borderId="15" xfId="0" applyNumberFormat="1" applyFont="1" applyBorder="1" applyAlignment="1">
      <alignment vertical="center" shrinkToFit="1"/>
    </xf>
    <xf numFmtId="177" fontId="5" fillId="0" borderId="14" xfId="0" applyNumberFormat="1" applyFont="1" applyBorder="1" applyAlignment="1">
      <alignment horizontal="right" vertical="center" shrinkToFit="1"/>
    </xf>
    <xf numFmtId="177" fontId="5" fillId="0" borderId="35" xfId="0" applyNumberFormat="1" applyFont="1" applyBorder="1" applyAlignment="1">
      <alignment horizontal="right" vertical="center" shrinkToFit="1"/>
    </xf>
    <xf numFmtId="0" fontId="5" fillId="0" borderId="0" xfId="0" applyFont="1" applyAlignment="1">
      <alignment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176" fontId="5" fillId="0" borderId="13" xfId="0" applyNumberFormat="1" applyFont="1" applyBorder="1" applyAlignment="1">
      <alignment vertical="center" shrinkToFit="1"/>
    </xf>
    <xf numFmtId="0" fontId="5" fillId="0" borderId="11" xfId="0" applyFont="1" applyBorder="1" applyAlignment="1">
      <alignment vertical="center" shrinkToFit="1"/>
    </xf>
    <xf numFmtId="176" fontId="5" fillId="0" borderId="36" xfId="0" applyNumberFormat="1" applyFont="1" applyBorder="1" applyAlignment="1">
      <alignment vertical="center" shrinkToFit="1"/>
    </xf>
    <xf numFmtId="176" fontId="5" fillId="0" borderId="38" xfId="0" applyNumberFormat="1" applyFont="1" applyBorder="1" applyAlignment="1">
      <alignment vertical="center" shrinkToFit="1"/>
    </xf>
    <xf numFmtId="0" fontId="5" fillId="0" borderId="12" xfId="0" applyFont="1" applyBorder="1" applyAlignment="1">
      <alignment vertical="center" shrinkToFit="1"/>
    </xf>
    <xf numFmtId="176" fontId="5" fillId="0" borderId="37" xfId="0" applyNumberFormat="1" applyFont="1" applyBorder="1" applyAlignment="1">
      <alignment vertical="center" shrinkToFit="1"/>
    </xf>
    <xf numFmtId="0" fontId="8" fillId="4" borderId="5" xfId="0" applyFont="1" applyFill="1" applyBorder="1" applyAlignment="1">
      <alignment vertical="center" shrinkToFit="1"/>
    </xf>
    <xf numFmtId="176" fontId="8" fillId="4" borderId="21" xfId="0" applyNumberFormat="1" applyFont="1" applyFill="1" applyBorder="1" applyAlignment="1">
      <alignment vertical="center" shrinkToFit="1"/>
    </xf>
    <xf numFmtId="177" fontId="8" fillId="9" borderId="22" xfId="0" applyNumberFormat="1" applyFont="1" applyFill="1" applyBorder="1" applyAlignment="1">
      <alignment horizontal="right" vertical="center" shrinkToFit="1"/>
    </xf>
    <xf numFmtId="0" fontId="13" fillId="0" borderId="26" xfId="0" applyFont="1" applyFill="1" applyBorder="1" applyAlignment="1">
      <alignment vertical="center" shrinkToFit="1"/>
    </xf>
    <xf numFmtId="176" fontId="5" fillId="0" borderId="21" xfId="0" applyNumberFormat="1" applyFont="1" applyFill="1" applyBorder="1" applyAlignment="1">
      <alignment vertical="center" shrinkToFit="1"/>
    </xf>
    <xf numFmtId="0" fontId="13" fillId="0" borderId="5" xfId="0" applyFont="1" applyFill="1" applyBorder="1" applyAlignment="1">
      <alignment vertical="center" shrinkToFit="1"/>
    </xf>
    <xf numFmtId="177" fontId="5" fillId="0" borderId="22" xfId="0" applyNumberFormat="1" applyFont="1" applyBorder="1" applyAlignment="1">
      <alignment horizontal="right" vertical="center" shrinkToFit="1"/>
    </xf>
    <xf numFmtId="177" fontId="5" fillId="0" borderId="16" xfId="0" applyNumberFormat="1" applyFont="1" applyBorder="1" applyAlignment="1">
      <alignment horizontal="right" vertical="center" shrinkToFit="1"/>
    </xf>
    <xf numFmtId="177" fontId="8" fillId="9" borderId="61" xfId="0" applyNumberFormat="1" applyFont="1" applyFill="1" applyBorder="1" applyAlignment="1">
      <alignment horizontal="right" vertical="center" shrinkToFit="1"/>
    </xf>
    <xf numFmtId="177" fontId="8" fillId="4" borderId="16" xfId="0" applyNumberFormat="1" applyFont="1" applyFill="1" applyBorder="1" applyAlignment="1">
      <alignment horizontal="right" vertical="center" shrinkToFit="1"/>
    </xf>
    <xf numFmtId="177" fontId="8" fillId="9" borderId="64" xfId="0" applyNumberFormat="1" applyFont="1" applyFill="1" applyBorder="1" applyAlignment="1">
      <alignment horizontal="right" vertical="center" shrinkToFit="1"/>
    </xf>
    <xf numFmtId="177" fontId="8" fillId="9" borderId="14" xfId="0" applyNumberFormat="1" applyFont="1" applyFill="1" applyBorder="1" applyAlignment="1">
      <alignment horizontal="right" vertical="center" shrinkToFit="1"/>
    </xf>
    <xf numFmtId="0" fontId="13" fillId="0" borderId="26" xfId="0" applyFont="1" applyBorder="1" applyAlignment="1">
      <alignment vertical="center" shrinkToFit="1"/>
    </xf>
    <xf numFmtId="176" fontId="5" fillId="0" borderId="21" xfId="0" applyNumberFormat="1" applyFont="1" applyBorder="1" applyAlignment="1">
      <alignment vertical="center" shrinkToFit="1"/>
    </xf>
    <xf numFmtId="0" fontId="13" fillId="0" borderId="5" xfId="0" applyFont="1" applyBorder="1" applyAlignment="1">
      <alignment vertical="center" shrinkToFit="1"/>
    </xf>
    <xf numFmtId="0" fontId="8" fillId="2" borderId="66" xfId="0" applyFont="1" applyFill="1" applyBorder="1" applyAlignment="1">
      <alignment horizontal="center" vertical="center"/>
    </xf>
    <xf numFmtId="0" fontId="8" fillId="2" borderId="67" xfId="0" applyFont="1" applyFill="1" applyBorder="1" applyAlignment="1">
      <alignment horizontal="center" vertical="center"/>
    </xf>
    <xf numFmtId="0" fontId="5" fillId="0" borderId="68" xfId="0" applyFont="1" applyBorder="1">
      <alignment vertical="center"/>
    </xf>
    <xf numFmtId="0" fontId="5" fillId="0" borderId="69" xfId="0" applyFont="1" applyBorder="1">
      <alignment vertical="center"/>
    </xf>
    <xf numFmtId="0" fontId="8" fillId="2" borderId="71" xfId="0" applyFont="1" applyFill="1" applyBorder="1" applyAlignment="1">
      <alignment horizontal="left" vertical="center" indent="1"/>
    </xf>
    <xf numFmtId="0" fontId="5" fillId="0" borderId="72" xfId="0" applyFont="1" applyBorder="1" applyAlignment="1">
      <alignment horizontal="left" vertical="center" indent="1"/>
    </xf>
    <xf numFmtId="0" fontId="5" fillId="0" borderId="73" xfId="0" applyFont="1" applyBorder="1" applyAlignment="1">
      <alignment horizontal="left" vertical="center" indent="1"/>
    </xf>
    <xf numFmtId="0" fontId="5" fillId="0" borderId="74" xfId="0" applyFont="1" applyBorder="1" applyAlignment="1">
      <alignment horizontal="left" vertical="center" wrapText="1" indent="1"/>
    </xf>
    <xf numFmtId="0" fontId="8" fillId="2" borderId="5" xfId="0" applyFont="1" applyFill="1" applyBorder="1" applyAlignment="1">
      <alignment horizontal="center" vertical="center"/>
    </xf>
    <xf numFmtId="176" fontId="5" fillId="0" borderId="5" xfId="0" applyNumberFormat="1" applyFont="1" applyBorder="1" applyAlignment="1">
      <alignment horizontal="right" vertical="center"/>
    </xf>
    <xf numFmtId="177" fontId="5" fillId="0" borderId="5" xfId="0" applyNumberFormat="1" applyFont="1" applyBorder="1" applyAlignment="1">
      <alignment vertical="center"/>
    </xf>
    <xf numFmtId="176" fontId="5" fillId="0" borderId="5" xfId="0" applyNumberFormat="1" applyFont="1" applyBorder="1">
      <alignment vertical="center"/>
    </xf>
    <xf numFmtId="176" fontId="8" fillId="2" borderId="5" xfId="0" applyNumberFormat="1" applyFont="1" applyFill="1" applyBorder="1" applyAlignment="1">
      <alignment horizontal="right" vertical="center"/>
    </xf>
    <xf numFmtId="177" fontId="8" fillId="2" borderId="5" xfId="1" applyNumberFormat="1" applyFont="1" applyFill="1" applyBorder="1" applyAlignment="1">
      <alignment horizontal="right" vertical="center"/>
    </xf>
    <xf numFmtId="178" fontId="5" fillId="0" borderId="10" xfId="0" applyNumberFormat="1" applyFont="1" applyBorder="1">
      <alignment vertical="center"/>
    </xf>
    <xf numFmtId="180" fontId="5" fillId="0" borderId="10" xfId="1" applyNumberFormat="1" applyFont="1" applyBorder="1" applyAlignment="1">
      <alignment horizontal="right" vertical="center"/>
    </xf>
    <xf numFmtId="178" fontId="5" fillId="0" borderId="11" xfId="0" applyNumberFormat="1" applyFont="1" applyBorder="1">
      <alignment vertical="center"/>
    </xf>
    <xf numFmtId="180" fontId="5" fillId="0" borderId="11" xfId="1" applyNumberFormat="1" applyFont="1" applyBorder="1" applyAlignment="1">
      <alignment horizontal="right" vertical="center"/>
    </xf>
    <xf numFmtId="178" fontId="5" fillId="0" borderId="12" xfId="0" applyNumberFormat="1" applyFont="1" applyBorder="1">
      <alignment vertical="center"/>
    </xf>
    <xf numFmtId="180" fontId="5" fillId="0" borderId="12" xfId="1" applyNumberFormat="1" applyFont="1" applyBorder="1" applyAlignment="1">
      <alignment horizontal="right" vertical="center"/>
    </xf>
    <xf numFmtId="0" fontId="8" fillId="2" borderId="26"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6" xfId="0" applyFont="1" applyFill="1" applyBorder="1" applyAlignment="1">
      <alignment horizontal="left" vertical="center" indent="1"/>
    </xf>
    <xf numFmtId="0" fontId="8" fillId="2" borderId="28" xfId="0" applyFont="1" applyFill="1" applyBorder="1" applyAlignment="1">
      <alignment horizontal="left" vertical="center" indent="1"/>
    </xf>
    <xf numFmtId="0" fontId="19" fillId="0" borderId="76" xfId="0" applyFont="1" applyBorder="1" applyAlignment="1">
      <alignment horizontal="left" vertical="center" wrapText="1" indent="1"/>
    </xf>
    <xf numFmtId="178" fontId="5" fillId="0" borderId="77" xfId="0" applyNumberFormat="1" applyFont="1" applyBorder="1">
      <alignment vertical="center"/>
    </xf>
    <xf numFmtId="178" fontId="5" fillId="0" borderId="77" xfId="0" applyNumberFormat="1" applyFont="1" applyBorder="1" applyAlignment="1">
      <alignment horizontal="right" vertical="center"/>
    </xf>
    <xf numFmtId="180" fontId="5" fillId="0" borderId="77" xfId="1" applyNumberFormat="1" applyFont="1" applyBorder="1" applyAlignment="1">
      <alignment horizontal="right" vertical="center"/>
    </xf>
    <xf numFmtId="178" fontId="5" fillId="0" borderId="78" xfId="0" applyNumberFormat="1" applyFont="1" applyBorder="1">
      <alignment vertical="center"/>
    </xf>
    <xf numFmtId="178" fontId="5" fillId="0" borderId="78" xfId="0" applyNumberFormat="1" applyFont="1" applyBorder="1" applyAlignment="1">
      <alignment horizontal="right" vertical="center"/>
    </xf>
    <xf numFmtId="180" fontId="5" fillId="0" borderId="78" xfId="1" applyNumberFormat="1" applyFont="1" applyBorder="1" applyAlignment="1">
      <alignment horizontal="right" vertical="center"/>
    </xf>
    <xf numFmtId="178" fontId="5" fillId="0" borderId="79" xfId="0" applyNumberFormat="1" applyFont="1" applyBorder="1">
      <alignment vertical="center"/>
    </xf>
    <xf numFmtId="178" fontId="5" fillId="0" borderId="79" xfId="0" applyNumberFormat="1" applyFont="1" applyBorder="1" applyAlignment="1">
      <alignment horizontal="right" vertical="center"/>
    </xf>
    <xf numFmtId="180" fontId="5" fillId="0" borderId="79" xfId="1" applyNumberFormat="1" applyFont="1" applyBorder="1" applyAlignment="1">
      <alignment horizontal="right" vertical="center"/>
    </xf>
    <xf numFmtId="0" fontId="5" fillId="0" borderId="80" xfId="0" applyFont="1" applyBorder="1">
      <alignment vertical="center"/>
    </xf>
    <xf numFmtId="0" fontId="5" fillId="0" borderId="5" xfId="0" applyFont="1" applyBorder="1" applyAlignment="1">
      <alignment vertical="center"/>
    </xf>
    <xf numFmtId="38" fontId="5" fillId="0" borderId="5" xfId="7" applyFont="1" applyBorder="1">
      <alignment vertical="center"/>
    </xf>
    <xf numFmtId="0" fontId="13" fillId="0" borderId="5" xfId="0" applyFont="1" applyFill="1" applyBorder="1" applyAlignment="1">
      <alignment horizontal="left" vertical="center" wrapText="1"/>
    </xf>
    <xf numFmtId="38" fontId="5" fillId="0" borderId="43" xfId="0" applyNumberFormat="1" applyFont="1" applyFill="1" applyBorder="1">
      <alignment vertical="center"/>
    </xf>
    <xf numFmtId="38" fontId="5" fillId="0" borderId="49" xfId="7" applyFont="1" applyFill="1" applyBorder="1" applyAlignment="1">
      <alignment horizontal="right" vertical="center"/>
    </xf>
    <xf numFmtId="0" fontId="13" fillId="0" borderId="5" xfId="0" applyFont="1" applyFill="1" applyBorder="1" applyAlignment="1">
      <alignment horizontal="left" vertical="center"/>
    </xf>
    <xf numFmtId="38" fontId="5" fillId="0" borderId="49" xfId="0" applyNumberFormat="1" applyFont="1" applyFill="1" applyBorder="1">
      <alignment vertical="center"/>
    </xf>
    <xf numFmtId="38" fontId="5" fillId="0" borderId="43" xfId="0" applyNumberFormat="1" applyFont="1" applyBorder="1">
      <alignment vertical="center"/>
    </xf>
    <xf numFmtId="0" fontId="13" fillId="0" borderId="5" xfId="0" applyFont="1" applyBorder="1" applyAlignment="1">
      <alignment horizontal="left" vertical="center" wrapText="1"/>
    </xf>
    <xf numFmtId="38" fontId="5" fillId="0" borderId="49" xfId="0" applyNumberFormat="1" applyFont="1" applyBorder="1">
      <alignment vertical="center"/>
    </xf>
    <xf numFmtId="0" fontId="13" fillId="0" borderId="5" xfId="0" applyFont="1" applyBorder="1" applyAlignment="1">
      <alignment horizontal="left" vertical="center"/>
    </xf>
    <xf numFmtId="38" fontId="5" fillId="0" borderId="28" xfId="0" applyNumberFormat="1" applyFont="1" applyBorder="1">
      <alignment vertical="center"/>
    </xf>
    <xf numFmtId="0" fontId="5" fillId="0" borderId="26" xfId="0" applyFont="1" applyBorder="1" applyAlignment="1">
      <alignment horizontal="left" vertical="center"/>
    </xf>
    <xf numFmtId="0" fontId="5" fillId="0" borderId="5" xfId="0" applyFont="1" applyBorder="1" applyAlignment="1">
      <alignment horizontal="left" vertical="center"/>
    </xf>
    <xf numFmtId="176" fontId="5" fillId="0" borderId="5" xfId="7" applyNumberFormat="1" applyFont="1" applyBorder="1">
      <alignment vertical="center"/>
    </xf>
    <xf numFmtId="177" fontId="5" fillId="0" borderId="5" xfId="0" applyNumberFormat="1" applyFont="1" applyBorder="1" applyAlignment="1">
      <alignment horizontal="right" vertical="center"/>
    </xf>
    <xf numFmtId="0" fontId="8" fillId="2" borderId="5" xfId="0" applyFont="1" applyFill="1" applyBorder="1" applyAlignment="1">
      <alignment horizontal="left" vertical="center" indent="1"/>
    </xf>
    <xf numFmtId="0" fontId="5" fillId="0" borderId="5" xfId="0" applyFont="1" applyBorder="1">
      <alignment vertical="center"/>
    </xf>
    <xf numFmtId="176" fontId="5" fillId="0" borderId="5" xfId="7" applyNumberFormat="1" applyFont="1" applyBorder="1" applyAlignment="1">
      <alignment horizontal="right" vertical="center"/>
    </xf>
    <xf numFmtId="38" fontId="5" fillId="0" borderId="5" xfId="0" applyNumberFormat="1" applyFont="1" applyBorder="1">
      <alignment vertical="center"/>
    </xf>
    <xf numFmtId="0" fontId="8" fillId="2" borderId="5" xfId="0" applyFont="1" applyFill="1" applyBorder="1" applyAlignment="1">
      <alignment horizontal="right" vertical="center"/>
    </xf>
    <xf numFmtId="0" fontId="8" fillId="2" borderId="5" xfId="0" applyFont="1" applyFill="1" applyBorder="1">
      <alignment vertical="center"/>
    </xf>
    <xf numFmtId="0" fontId="5" fillId="0" borderId="5" xfId="0" applyFont="1" applyBorder="1" applyAlignment="1">
      <alignment vertical="center" wrapText="1"/>
    </xf>
    <xf numFmtId="176" fontId="5" fillId="0" borderId="5" xfId="0" applyNumberFormat="1" applyFont="1" applyBorder="1" applyAlignment="1">
      <alignment vertical="center"/>
    </xf>
    <xf numFmtId="0" fontId="5" fillId="0" borderId="5" xfId="0" applyFont="1" applyFill="1" applyBorder="1" applyAlignment="1">
      <alignment vertical="center" wrapText="1"/>
    </xf>
    <xf numFmtId="38" fontId="5" fillId="0" borderId="5" xfId="0" applyNumberFormat="1" applyFont="1" applyFill="1" applyBorder="1">
      <alignment vertical="center"/>
    </xf>
    <xf numFmtId="177" fontId="5" fillId="0" borderId="5" xfId="0" applyNumberFormat="1" applyFont="1" applyFill="1" applyBorder="1" applyAlignment="1">
      <alignment horizontal="right" vertical="center"/>
    </xf>
    <xf numFmtId="0" fontId="5" fillId="0" borderId="5" xfId="0" applyFont="1" applyFill="1" applyBorder="1">
      <alignment vertical="center"/>
    </xf>
    <xf numFmtId="179" fontId="5" fillId="0" borderId="5" xfId="0" applyNumberFormat="1" applyFont="1" applyBorder="1">
      <alignment vertical="center"/>
    </xf>
    <xf numFmtId="0" fontId="8" fillId="10" borderId="5" xfId="0" applyFont="1" applyFill="1" applyBorder="1" applyAlignment="1">
      <alignment horizontal="center" vertical="center"/>
    </xf>
    <xf numFmtId="0" fontId="15" fillId="10" borderId="5" xfId="0" applyFont="1" applyFill="1" applyBorder="1" applyAlignment="1">
      <alignment horizontal="center" vertical="center"/>
    </xf>
    <xf numFmtId="0" fontId="8" fillId="10" borderId="5" xfId="0" applyFont="1" applyFill="1" applyBorder="1" applyAlignment="1">
      <alignment horizontal="left" vertical="center" indent="1"/>
    </xf>
    <xf numFmtId="176" fontId="8" fillId="10" borderId="5" xfId="0" applyNumberFormat="1" applyFont="1" applyFill="1" applyBorder="1" applyAlignment="1">
      <alignment horizontal="right" vertical="center"/>
    </xf>
    <xf numFmtId="177" fontId="8" fillId="10" borderId="5" xfId="1" applyNumberFormat="1" applyFont="1" applyFill="1" applyBorder="1" applyAlignment="1">
      <alignment horizontal="right" vertical="center"/>
    </xf>
    <xf numFmtId="0" fontId="8" fillId="10" borderId="66" xfId="0" applyFont="1" applyFill="1" applyBorder="1" applyAlignment="1">
      <alignment horizontal="center" vertical="center"/>
    </xf>
    <xf numFmtId="0" fontId="8" fillId="10" borderId="67" xfId="0" applyFont="1" applyFill="1" applyBorder="1" applyAlignment="1">
      <alignment horizontal="center" vertical="center"/>
    </xf>
    <xf numFmtId="0" fontId="8" fillId="10" borderId="26" xfId="0" applyFont="1" applyFill="1" applyBorder="1" applyAlignment="1">
      <alignment horizontal="center" vertical="center"/>
    </xf>
    <xf numFmtId="0" fontId="8" fillId="10" borderId="28" xfId="0" applyFont="1" applyFill="1" applyBorder="1" applyAlignment="1">
      <alignment horizontal="center" vertical="center"/>
    </xf>
    <xf numFmtId="0" fontId="8" fillId="10" borderId="71" xfId="0" applyFont="1" applyFill="1" applyBorder="1" applyAlignment="1">
      <alignment horizontal="left" vertical="center" indent="1"/>
    </xf>
    <xf numFmtId="0" fontId="8" fillId="10" borderId="40" xfId="0" applyFont="1" applyFill="1" applyBorder="1" applyAlignment="1">
      <alignment horizontal="left" vertical="center" indent="1"/>
    </xf>
    <xf numFmtId="0" fontId="8" fillId="10" borderId="26" xfId="0" applyFont="1" applyFill="1" applyBorder="1" applyAlignment="1">
      <alignment horizontal="left" vertical="center" indent="1"/>
    </xf>
    <xf numFmtId="0" fontId="8" fillId="10" borderId="28" xfId="0" applyFont="1" applyFill="1" applyBorder="1" applyAlignment="1">
      <alignment horizontal="left" vertical="center" indent="1"/>
    </xf>
    <xf numFmtId="0" fontId="11" fillId="6" borderId="0" xfId="0" applyFont="1" applyFill="1" applyBorder="1" applyAlignment="1">
      <alignment horizontal="center" vertical="center"/>
    </xf>
    <xf numFmtId="38" fontId="5" fillId="0" borderId="5" xfId="7" applyFont="1" applyBorder="1" applyAlignment="1">
      <alignment horizontal="right" vertical="center"/>
    </xf>
    <xf numFmtId="38" fontId="5" fillId="0" borderId="5" xfId="7" applyFont="1" applyBorder="1" applyAlignment="1">
      <alignment vertical="center"/>
    </xf>
    <xf numFmtId="38" fontId="5" fillId="0" borderId="5" xfId="7" applyFont="1" applyBorder="1" applyAlignment="1">
      <alignment horizontal="right"/>
    </xf>
    <xf numFmtId="0" fontId="16" fillId="0" borderId="5" xfId="0" applyFont="1" applyBorder="1" applyAlignment="1">
      <alignment vertical="center" wrapText="1"/>
    </xf>
    <xf numFmtId="0" fontId="8" fillId="10" borderId="5" xfId="0" applyFont="1" applyFill="1" applyBorder="1">
      <alignment vertical="center"/>
    </xf>
    <xf numFmtId="0" fontId="8" fillId="10" borderId="5" xfId="0" applyFont="1" applyFill="1" applyBorder="1" applyAlignment="1">
      <alignment horizontal="right" vertical="center"/>
    </xf>
    <xf numFmtId="176" fontId="17" fillId="0" borderId="5" xfId="0" applyNumberFormat="1" applyFont="1" applyBorder="1">
      <alignment vertical="center"/>
    </xf>
    <xf numFmtId="0" fontId="8" fillId="12" borderId="5" xfId="0" applyFont="1" applyFill="1" applyBorder="1">
      <alignment vertical="center"/>
    </xf>
    <xf numFmtId="0" fontId="8" fillId="12" borderId="5" xfId="0" applyFont="1" applyFill="1" applyBorder="1" applyAlignment="1">
      <alignment horizontal="center" vertical="center"/>
    </xf>
    <xf numFmtId="176" fontId="8" fillId="12" borderId="5" xfId="0" applyNumberFormat="1" applyFont="1" applyFill="1" applyBorder="1">
      <alignment vertical="center"/>
    </xf>
    <xf numFmtId="177" fontId="8" fillId="12" borderId="5" xfId="1" applyNumberFormat="1" applyFont="1" applyFill="1" applyBorder="1">
      <alignment vertical="center"/>
    </xf>
    <xf numFmtId="176" fontId="8" fillId="12" borderId="5" xfId="7" applyNumberFormat="1" applyFont="1" applyFill="1" applyBorder="1">
      <alignment vertical="center"/>
    </xf>
    <xf numFmtId="0" fontId="8" fillId="12" borderId="43" xfId="0" applyFont="1" applyFill="1" applyBorder="1" applyAlignment="1">
      <alignment horizontal="center" vertical="center"/>
    </xf>
    <xf numFmtId="0" fontId="8" fillId="12" borderId="27" xfId="0" applyFont="1" applyFill="1" applyBorder="1" applyAlignment="1">
      <alignment horizontal="center" vertical="center"/>
    </xf>
    <xf numFmtId="176" fontId="5" fillId="0" borderId="43" xfId="0" applyNumberFormat="1" applyFont="1" applyBorder="1">
      <alignment vertical="center"/>
    </xf>
    <xf numFmtId="176" fontId="5" fillId="0" borderId="43" xfId="0" applyNumberFormat="1" applyFont="1" applyFill="1" applyBorder="1">
      <alignment vertical="center"/>
    </xf>
    <xf numFmtId="176" fontId="5" fillId="0" borderId="43" xfId="0" applyNumberFormat="1" applyFont="1" applyBorder="1" applyAlignment="1">
      <alignment horizontal="right" vertical="center"/>
    </xf>
    <xf numFmtId="177" fontId="5" fillId="0" borderId="41" xfId="0" applyNumberFormat="1" applyFont="1" applyBorder="1" applyAlignment="1">
      <alignment horizontal="right" vertical="center"/>
    </xf>
    <xf numFmtId="176" fontId="5" fillId="0" borderId="43" xfId="7" applyNumberFormat="1" applyFont="1" applyBorder="1">
      <alignment vertical="center"/>
    </xf>
    <xf numFmtId="177" fontId="5" fillId="0" borderId="27" xfId="1" applyNumberFormat="1" applyFont="1" applyBorder="1" applyAlignment="1">
      <alignment horizontal="right" vertical="center"/>
    </xf>
    <xf numFmtId="177" fontId="5" fillId="0" borderId="41" xfId="1" applyNumberFormat="1" applyFont="1" applyFill="1" applyBorder="1" applyAlignment="1">
      <alignment horizontal="right" vertical="center"/>
    </xf>
    <xf numFmtId="0" fontId="8" fillId="12" borderId="5" xfId="0" applyFont="1" applyFill="1" applyBorder="1" applyAlignment="1">
      <alignment vertical="center"/>
    </xf>
    <xf numFmtId="176" fontId="8" fillId="13" borderId="43" xfId="0" applyNumberFormat="1" applyFont="1" applyFill="1" applyBorder="1">
      <alignment vertical="center"/>
    </xf>
    <xf numFmtId="177" fontId="8" fillId="12" borderId="27" xfId="1" applyNumberFormat="1" applyFont="1" applyFill="1" applyBorder="1">
      <alignment vertical="center"/>
    </xf>
    <xf numFmtId="177" fontId="8" fillId="13" borderId="27" xfId="0" applyNumberFormat="1" applyFont="1" applyFill="1" applyBorder="1">
      <alignment vertical="center"/>
    </xf>
    <xf numFmtId="177" fontId="8" fillId="12" borderId="27" xfId="0" applyNumberFormat="1" applyFont="1" applyFill="1" applyBorder="1">
      <alignment vertical="center"/>
    </xf>
    <xf numFmtId="176" fontId="8" fillId="12" borderId="43" xfId="0" applyNumberFormat="1" applyFont="1" applyFill="1" applyBorder="1">
      <alignment vertical="center"/>
    </xf>
    <xf numFmtId="176" fontId="8" fillId="13" borderId="5" xfId="0" applyNumberFormat="1" applyFont="1" applyFill="1" applyBorder="1">
      <alignment vertical="center"/>
    </xf>
    <xf numFmtId="38" fontId="8" fillId="12" borderId="5" xfId="7" applyFont="1" applyFill="1" applyBorder="1">
      <alignment vertical="center"/>
    </xf>
    <xf numFmtId="0" fontId="14" fillId="12" borderId="43" xfId="0" applyFont="1" applyFill="1" applyBorder="1" applyAlignment="1">
      <alignment horizontal="center" vertical="center" wrapText="1"/>
    </xf>
    <xf numFmtId="0" fontId="14" fillId="12" borderId="47" xfId="0" applyFont="1" applyFill="1" applyBorder="1" applyAlignment="1">
      <alignment horizontal="center" vertical="center" wrapText="1"/>
    </xf>
    <xf numFmtId="0" fontId="14" fillId="12" borderId="49" xfId="0" applyFont="1" applyFill="1" applyBorder="1" applyAlignment="1">
      <alignment horizontal="center" vertical="center" wrapText="1"/>
    </xf>
    <xf numFmtId="0" fontId="14" fillId="12" borderId="27" xfId="0" applyFont="1" applyFill="1" applyBorder="1" applyAlignment="1">
      <alignment horizontal="center" vertical="center" wrapText="1"/>
    </xf>
    <xf numFmtId="0" fontId="8" fillId="12" borderId="5" xfId="0" applyFont="1" applyFill="1" applyBorder="1" applyAlignment="1">
      <alignment horizontal="left" vertical="center"/>
    </xf>
    <xf numFmtId="38" fontId="8" fillId="12" borderId="43" xfId="0" applyNumberFormat="1" applyFont="1" applyFill="1" applyBorder="1">
      <alignment vertical="center"/>
    </xf>
    <xf numFmtId="177" fontId="8" fillId="12" borderId="41" xfId="1" applyNumberFormat="1" applyFont="1" applyFill="1" applyBorder="1">
      <alignment vertical="center"/>
    </xf>
    <xf numFmtId="38" fontId="8" fillId="12" borderId="49" xfId="0" applyNumberFormat="1" applyFont="1" applyFill="1" applyBorder="1" applyAlignment="1">
      <alignment vertical="center" shrinkToFit="1"/>
    </xf>
    <xf numFmtId="38" fontId="8" fillId="12" borderId="49" xfId="0" applyNumberFormat="1" applyFont="1" applyFill="1" applyBorder="1">
      <alignment vertical="center"/>
    </xf>
    <xf numFmtId="0" fontId="14" fillId="12" borderId="26" xfId="0" applyFont="1" applyFill="1" applyBorder="1" applyAlignment="1">
      <alignment horizontal="center" vertical="center" wrapText="1"/>
    </xf>
    <xf numFmtId="0" fontId="14" fillId="12" borderId="48" xfId="0" applyFont="1" applyFill="1" applyBorder="1" applyAlignment="1">
      <alignment horizontal="center" vertical="center" wrapText="1"/>
    </xf>
    <xf numFmtId="177" fontId="8" fillId="12" borderId="47" xfId="1" applyNumberFormat="1" applyFont="1" applyFill="1" applyBorder="1">
      <alignment vertical="center"/>
    </xf>
    <xf numFmtId="0" fontId="20" fillId="0" borderId="0" xfId="0" applyFont="1" applyAlignment="1">
      <alignment vertical="center"/>
    </xf>
    <xf numFmtId="178" fontId="5" fillId="0" borderId="7" xfId="7" applyNumberFormat="1" applyFont="1" applyBorder="1">
      <alignment vertical="center"/>
    </xf>
    <xf numFmtId="178" fontId="5" fillId="0" borderId="45" xfId="7" applyNumberFormat="1" applyFont="1" applyBorder="1">
      <alignment vertical="center"/>
    </xf>
    <xf numFmtId="178" fontId="5" fillId="0" borderId="12" xfId="7" applyNumberFormat="1" applyFont="1" applyBorder="1">
      <alignment vertical="center"/>
    </xf>
    <xf numFmtId="178" fontId="5" fillId="0" borderId="6" xfId="7" applyNumberFormat="1" applyFont="1" applyBorder="1">
      <alignment vertical="center"/>
    </xf>
    <xf numFmtId="178" fontId="5" fillId="0" borderId="11" xfId="7" applyNumberFormat="1" applyFont="1" applyBorder="1">
      <alignment vertical="center"/>
    </xf>
    <xf numFmtId="178" fontId="5" fillId="0" borderId="29" xfId="7" applyNumberFormat="1" applyFont="1" applyBorder="1">
      <alignment vertical="center"/>
    </xf>
    <xf numFmtId="178" fontId="5" fillId="0" borderId="6" xfId="0" applyNumberFormat="1" applyFont="1" applyBorder="1">
      <alignment vertical="center"/>
    </xf>
    <xf numFmtId="0" fontId="11" fillId="3" borderId="0" xfId="0" applyFont="1" applyFill="1" applyAlignment="1">
      <alignment horizontal="center" vertical="center"/>
    </xf>
    <xf numFmtId="0" fontId="5" fillId="0" borderId="5" xfId="0" applyFont="1" applyBorder="1" applyAlignment="1">
      <alignment vertical="center" shrinkToFit="1"/>
    </xf>
    <xf numFmtId="0" fontId="11" fillId="3" borderId="0" xfId="0" applyFont="1" applyFill="1" applyAlignment="1">
      <alignment horizontal="left" vertical="center" shrinkToFit="1"/>
    </xf>
    <xf numFmtId="176" fontId="17" fillId="0" borderId="55" xfId="0" applyNumberFormat="1" applyFont="1" applyBorder="1">
      <alignment vertical="center"/>
    </xf>
    <xf numFmtId="0" fontId="11" fillId="0" borderId="0" xfId="0" applyFont="1" applyBorder="1" applyAlignment="1">
      <alignment horizontal="left" vertical="center"/>
    </xf>
    <xf numFmtId="0" fontId="11" fillId="0" borderId="0" xfId="0" applyFont="1" applyBorder="1" applyAlignment="1">
      <alignment horizontal="left" vertical="center" shrinkToFit="1"/>
    </xf>
    <xf numFmtId="0" fontId="11" fillId="3" borderId="0" xfId="0" applyFont="1" applyFill="1" applyBorder="1" applyAlignment="1">
      <alignment horizontal="left" vertical="center"/>
    </xf>
    <xf numFmtId="0" fontId="11" fillId="0" borderId="0" xfId="0" applyFont="1" applyAlignment="1">
      <alignment horizontal="center" vertical="center" shrinkToFit="1"/>
    </xf>
    <xf numFmtId="176" fontId="8" fillId="0" borderId="13" xfId="0" applyNumberFormat="1" applyFont="1" applyBorder="1" applyAlignment="1">
      <alignment vertical="center" shrinkToFit="1"/>
    </xf>
    <xf numFmtId="181" fontId="5" fillId="0" borderId="0" xfId="0" applyNumberFormat="1" applyFont="1" applyBorder="1" applyAlignment="1">
      <alignment vertical="center"/>
    </xf>
    <xf numFmtId="0" fontId="22" fillId="15" borderId="83" xfId="0" applyFont="1" applyFill="1" applyBorder="1" applyAlignment="1">
      <alignment horizontal="center" vertical="center"/>
    </xf>
    <xf numFmtId="182" fontId="5" fillId="6" borderId="55" xfId="0" applyNumberFormat="1" applyFont="1" applyFill="1" applyBorder="1">
      <alignment vertical="center"/>
    </xf>
    <xf numFmtId="0" fontId="11" fillId="6" borderId="84" xfId="0" applyFont="1" applyFill="1" applyBorder="1">
      <alignment vertical="center"/>
    </xf>
    <xf numFmtId="0" fontId="11" fillId="6" borderId="31" xfId="0" applyFont="1" applyFill="1" applyBorder="1" applyAlignment="1">
      <alignment vertical="center" wrapText="1"/>
    </xf>
    <xf numFmtId="182" fontId="5" fillId="6" borderId="85" xfId="0" applyNumberFormat="1" applyFont="1" applyFill="1" applyBorder="1">
      <alignment vertical="center"/>
    </xf>
    <xf numFmtId="0" fontId="11" fillId="0" borderId="31" xfId="0" applyFont="1" applyBorder="1" applyAlignment="1">
      <alignment vertical="center" wrapText="1"/>
    </xf>
    <xf numFmtId="182" fontId="5" fillId="0" borderId="85" xfId="0" applyNumberFormat="1" applyFont="1" applyBorder="1">
      <alignment vertical="center"/>
    </xf>
    <xf numFmtId="0" fontId="11" fillId="0" borderId="31" xfId="0" applyFont="1" applyBorder="1">
      <alignment vertical="center"/>
    </xf>
    <xf numFmtId="0" fontId="21" fillId="15" borderId="0" xfId="0" applyFont="1" applyFill="1" applyBorder="1" applyAlignment="1">
      <alignment horizontal="center" vertical="center"/>
    </xf>
    <xf numFmtId="0" fontId="11" fillId="6" borderId="0" xfId="0" applyFont="1" applyFill="1" applyBorder="1" applyAlignment="1">
      <alignment vertical="center"/>
    </xf>
    <xf numFmtId="0" fontId="11" fillId="0" borderId="0" xfId="0" applyFont="1" applyBorder="1" applyAlignment="1">
      <alignment vertical="center"/>
    </xf>
    <xf numFmtId="0" fontId="7" fillId="0" borderId="0" xfId="0" applyFont="1" applyAlignment="1">
      <alignment vertical="center"/>
    </xf>
    <xf numFmtId="0" fontId="5" fillId="0" borderId="86" xfId="0" applyFont="1" applyBorder="1">
      <alignment vertical="center"/>
    </xf>
    <xf numFmtId="176" fontId="17" fillId="0" borderId="55" xfId="0" applyNumberFormat="1" applyFont="1" applyBorder="1" applyProtection="1">
      <alignment vertical="center"/>
      <protection locked="0"/>
    </xf>
    <xf numFmtId="0" fontId="5" fillId="0" borderId="0" xfId="0" applyFont="1" applyBorder="1" applyAlignment="1">
      <alignment vertical="center"/>
    </xf>
    <xf numFmtId="182" fontId="5" fillId="0" borderId="0" xfId="0" applyNumberFormat="1" applyFont="1" applyBorder="1" applyAlignment="1">
      <alignment vertical="center"/>
    </xf>
    <xf numFmtId="0" fontId="11" fillId="0" borderId="83" xfId="0" applyFont="1" applyBorder="1">
      <alignment vertical="center"/>
    </xf>
    <xf numFmtId="0" fontId="11" fillId="6" borderId="83" xfId="0" applyFont="1" applyFill="1" applyBorder="1">
      <alignment vertical="center"/>
    </xf>
    <xf numFmtId="0" fontId="11" fillId="3" borderId="83" xfId="0" applyFont="1" applyFill="1" applyBorder="1" applyAlignment="1">
      <alignment horizontal="left" vertical="center"/>
    </xf>
    <xf numFmtId="0" fontId="11" fillId="0" borderId="0" xfId="0" applyFont="1" applyBorder="1">
      <alignment vertical="center"/>
    </xf>
    <xf numFmtId="0" fontId="11" fillId="6" borderId="0" xfId="0" applyFont="1" applyFill="1" applyBorder="1">
      <alignment vertical="center"/>
    </xf>
    <xf numFmtId="0" fontId="11" fillId="0" borderId="87" xfId="0" applyFont="1" applyBorder="1">
      <alignment vertical="center"/>
    </xf>
    <xf numFmtId="176" fontId="5" fillId="0" borderId="56" xfId="0" applyNumberFormat="1" applyFont="1" applyBorder="1">
      <alignment vertical="center"/>
    </xf>
    <xf numFmtId="176" fontId="11" fillId="0" borderId="15" xfId="0" applyNumberFormat="1" applyFont="1" applyBorder="1" applyAlignment="1">
      <alignment horizontal="left" vertical="center"/>
    </xf>
    <xf numFmtId="0" fontId="11" fillId="0" borderId="0" xfId="0" applyFont="1" applyAlignment="1">
      <alignment horizontal="left" vertical="center"/>
    </xf>
    <xf numFmtId="0" fontId="11" fillId="0" borderId="0" xfId="0" applyFont="1" applyAlignment="1">
      <alignment horizontal="right" vertical="center"/>
    </xf>
    <xf numFmtId="0" fontId="5" fillId="0" borderId="0" xfId="0" applyFont="1" applyAlignment="1">
      <alignment vertical="center" wrapText="1"/>
    </xf>
    <xf numFmtId="176" fontId="5" fillId="0" borderId="0" xfId="0" applyNumberFormat="1" applyFont="1" applyAlignment="1">
      <alignment vertical="center" wrapText="1"/>
    </xf>
    <xf numFmtId="0" fontId="11" fillId="0" borderId="0" xfId="0" applyFont="1" applyAlignment="1">
      <alignment horizontal="right" vertical="center" wrapText="1"/>
    </xf>
    <xf numFmtId="0" fontId="6" fillId="0" borderId="0" xfId="0" applyFont="1" applyAlignment="1">
      <alignment horizontal="center" vertical="center" shrinkToFit="1"/>
    </xf>
    <xf numFmtId="0" fontId="6" fillId="0" borderId="0" xfId="0" applyFont="1" applyAlignment="1">
      <alignment horizontal="left" vertical="center"/>
    </xf>
    <xf numFmtId="0" fontId="6" fillId="0" borderId="0" xfId="0" applyFont="1" applyAlignment="1">
      <alignment vertical="center"/>
    </xf>
    <xf numFmtId="176" fontId="11" fillId="14" borderId="88" xfId="0" applyNumberFormat="1" applyFont="1" applyFill="1" applyBorder="1" applyAlignment="1">
      <alignment vertical="center" shrinkToFit="1"/>
    </xf>
    <xf numFmtId="0" fontId="11" fillId="5" borderId="88" xfId="0" applyFont="1" applyFill="1" applyBorder="1" applyAlignment="1">
      <alignment horizontal="left" vertical="center" shrinkToFit="1"/>
    </xf>
    <xf numFmtId="176" fontId="11" fillId="5" borderId="88" xfId="0" applyNumberFormat="1" applyFont="1" applyFill="1" applyBorder="1" applyAlignment="1">
      <alignment vertical="center" shrinkToFit="1"/>
    </xf>
    <xf numFmtId="182" fontId="5" fillId="0" borderId="62" xfId="0" applyNumberFormat="1" applyFont="1" applyBorder="1">
      <alignment vertical="center"/>
    </xf>
    <xf numFmtId="0" fontId="11" fillId="0" borderId="88" xfId="0" applyFont="1" applyBorder="1">
      <alignment vertical="center"/>
    </xf>
    <xf numFmtId="0" fontId="11" fillId="0" borderId="0" xfId="0" applyFont="1" applyBorder="1" applyAlignment="1">
      <alignment vertical="center" wrapText="1"/>
    </xf>
    <xf numFmtId="0" fontId="11" fillId="5" borderId="0" xfId="0" applyFont="1" applyFill="1" applyBorder="1" applyAlignment="1">
      <alignment horizontal="left" vertical="center" shrinkToFit="1"/>
    </xf>
    <xf numFmtId="176" fontId="11" fillId="0" borderId="88" xfId="0" applyNumberFormat="1" applyFont="1" applyBorder="1">
      <alignment vertical="center"/>
    </xf>
    <xf numFmtId="0" fontId="11" fillId="5" borderId="88" xfId="0" applyFont="1" applyFill="1" applyBorder="1" applyAlignment="1">
      <alignment horizontal="center" vertical="center" shrinkToFit="1"/>
    </xf>
    <xf numFmtId="0" fontId="22" fillId="15" borderId="89" xfId="0" applyFont="1" applyFill="1" applyBorder="1" applyAlignment="1">
      <alignment horizontal="center" vertical="center"/>
    </xf>
    <xf numFmtId="0" fontId="11" fillId="3" borderId="88" xfId="0" applyFont="1" applyFill="1" applyBorder="1">
      <alignment vertical="center"/>
    </xf>
    <xf numFmtId="0" fontId="11" fillId="3" borderId="88" xfId="0" applyFont="1" applyFill="1" applyBorder="1" applyAlignment="1" applyProtection="1">
      <alignment horizontal="left" vertical="center"/>
      <protection locked="0"/>
    </xf>
    <xf numFmtId="0" fontId="11" fillId="3" borderId="0" xfId="0" applyFont="1" applyFill="1" applyAlignment="1" applyProtection="1">
      <alignment horizontal="left" vertical="center"/>
      <protection locked="0"/>
    </xf>
    <xf numFmtId="0" fontId="9" fillId="0" borderId="0" xfId="0" applyFont="1" applyAlignment="1" applyProtection="1">
      <alignment horizontal="left" vertical="center"/>
      <protection locked="0"/>
    </xf>
    <xf numFmtId="176" fontId="17" fillId="0" borderId="0" xfId="0" applyNumberFormat="1" applyFont="1" applyProtection="1">
      <alignment vertical="center"/>
      <protection locked="0"/>
    </xf>
    <xf numFmtId="0" fontId="11" fillId="3" borderId="0" xfId="0" applyFont="1" applyFill="1" applyAlignment="1" applyProtection="1">
      <alignment horizontal="left" vertical="center" shrinkToFit="1"/>
      <protection locked="0"/>
    </xf>
    <xf numFmtId="0" fontId="11" fillId="0" borderId="0" xfId="0" applyFont="1" applyAlignment="1" applyProtection="1">
      <alignment horizontal="center" vertical="center"/>
      <protection locked="0"/>
    </xf>
    <xf numFmtId="0" fontId="5" fillId="0" borderId="0" xfId="0" applyFont="1" applyProtection="1">
      <alignment vertical="center"/>
      <protection locked="0"/>
    </xf>
    <xf numFmtId="0" fontId="10" fillId="6" borderId="0" xfId="0" applyFont="1" applyFill="1" applyBorder="1" applyAlignment="1" applyProtection="1">
      <alignment horizontal="center" vertical="center" wrapText="1"/>
      <protection locked="0"/>
    </xf>
    <xf numFmtId="10" fontId="9" fillId="0" borderId="0" xfId="0" applyNumberFormat="1" applyFont="1" applyBorder="1" applyAlignment="1" applyProtection="1">
      <alignment horizontal="right" vertical="center" indent="1"/>
      <protection locked="0"/>
    </xf>
    <xf numFmtId="10" fontId="9" fillId="0" borderId="0" xfId="0" applyNumberFormat="1" applyFont="1" applyAlignment="1" applyProtection="1">
      <alignment horizontal="right" vertical="center" indent="1"/>
      <protection locked="0"/>
    </xf>
    <xf numFmtId="0" fontId="9" fillId="0" borderId="0" xfId="0" applyFont="1" applyProtection="1">
      <alignment vertical="center"/>
      <protection locked="0"/>
    </xf>
    <xf numFmtId="0" fontId="24" fillId="0" borderId="0" xfId="0" applyFont="1" applyAlignment="1">
      <alignment horizontal="center" vertical="center"/>
    </xf>
    <xf numFmtId="0" fontId="16" fillId="0" borderId="21" xfId="0" applyFont="1" applyBorder="1" applyAlignment="1">
      <alignment vertical="center" wrapText="1"/>
    </xf>
    <xf numFmtId="177" fontId="5" fillId="0" borderId="22" xfId="1" applyNumberFormat="1" applyFont="1" applyBorder="1">
      <alignment vertical="center"/>
    </xf>
    <xf numFmtId="0" fontId="24" fillId="0" borderId="92" xfId="0" applyFont="1" applyBorder="1" applyAlignment="1">
      <alignment horizontal="center" vertical="center"/>
    </xf>
    <xf numFmtId="0" fontId="25" fillId="0" borderId="93" xfId="0" applyFont="1" applyBorder="1" applyAlignment="1">
      <alignment horizontal="center" vertical="center"/>
    </xf>
    <xf numFmtId="177" fontId="5" fillId="0" borderId="94" xfId="1" applyNumberFormat="1" applyFont="1" applyBorder="1">
      <alignment vertical="center"/>
    </xf>
    <xf numFmtId="0" fontId="25" fillId="0" borderId="95" xfId="0" applyFont="1" applyBorder="1" applyAlignment="1">
      <alignment horizontal="center" vertical="center"/>
    </xf>
    <xf numFmtId="0" fontId="16" fillId="0" borderId="96" xfId="0" applyFont="1" applyBorder="1" applyAlignment="1">
      <alignment vertical="center" wrapText="1"/>
    </xf>
    <xf numFmtId="177" fontId="5" fillId="0" borderId="97" xfId="1" applyNumberFormat="1" applyFont="1" applyBorder="1">
      <alignment vertical="center"/>
    </xf>
    <xf numFmtId="177" fontId="5" fillId="0" borderId="98" xfId="1" applyNumberFormat="1" applyFont="1" applyBorder="1">
      <alignment vertical="center"/>
    </xf>
    <xf numFmtId="185" fontId="5" fillId="0" borderId="5" xfId="0" applyNumberFormat="1" applyFont="1" applyBorder="1" applyAlignment="1">
      <alignment horizontal="right" vertical="center"/>
    </xf>
    <xf numFmtId="185" fontId="5" fillId="0" borderId="5" xfId="0" applyNumberFormat="1" applyFont="1" applyBorder="1">
      <alignment vertical="center"/>
    </xf>
    <xf numFmtId="0" fontId="10" fillId="2" borderId="5" xfId="0" applyFont="1" applyFill="1" applyBorder="1" applyAlignment="1">
      <alignment horizontal="center" vertical="center"/>
    </xf>
    <xf numFmtId="0" fontId="27" fillId="0" borderId="0" xfId="0" applyFont="1">
      <alignment vertical="center"/>
    </xf>
    <xf numFmtId="0" fontId="9" fillId="0" borderId="5" xfId="0" applyFont="1" applyBorder="1" applyAlignment="1">
      <alignment horizontal="left" vertical="center"/>
    </xf>
    <xf numFmtId="0" fontId="10" fillId="10" borderId="5" xfId="0" applyFont="1" applyFill="1" applyBorder="1" applyAlignment="1">
      <alignment horizontal="center" vertical="center"/>
    </xf>
    <xf numFmtId="0" fontId="28" fillId="10" borderId="5" xfId="0" applyFont="1" applyFill="1" applyBorder="1" applyAlignment="1">
      <alignment horizontal="center" vertical="center"/>
    </xf>
    <xf numFmtId="185" fontId="9" fillId="0" borderId="5" xfId="0" applyNumberFormat="1" applyFont="1" applyBorder="1">
      <alignment vertical="center"/>
    </xf>
    <xf numFmtId="0" fontId="10" fillId="12" borderId="5" xfId="0" applyFont="1" applyFill="1" applyBorder="1">
      <alignment vertical="center"/>
    </xf>
    <xf numFmtId="0" fontId="10" fillId="12" borderId="5" xfId="0" applyFont="1" applyFill="1" applyBorder="1" applyAlignment="1">
      <alignment horizontal="center" vertical="center" shrinkToFit="1"/>
    </xf>
    <xf numFmtId="0" fontId="9" fillId="0" borderId="5" xfId="0" applyFont="1" applyBorder="1">
      <alignment vertical="center"/>
    </xf>
    <xf numFmtId="182" fontId="17" fillId="0" borderId="55" xfId="0" applyNumberFormat="1" applyFont="1" applyBorder="1">
      <alignment vertical="center"/>
    </xf>
    <xf numFmtId="0" fontId="8" fillId="13" borderId="66" xfId="0" applyFont="1" applyFill="1" applyBorder="1" applyAlignment="1">
      <alignment horizontal="center" vertical="center"/>
    </xf>
    <xf numFmtId="0" fontId="8" fillId="13" borderId="67" xfId="0" applyFont="1" applyFill="1" applyBorder="1" applyAlignment="1">
      <alignment horizontal="center" vertical="center"/>
    </xf>
    <xf numFmtId="0" fontId="8" fillId="13" borderId="5"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0" xfId="0" applyFont="1" applyFill="1" applyBorder="1" applyAlignment="1">
      <alignment horizontal="center" vertical="center"/>
    </xf>
    <xf numFmtId="176" fontId="5" fillId="0" borderId="42" xfId="0" applyNumberFormat="1" applyFont="1" applyFill="1" applyBorder="1" applyAlignment="1">
      <alignment horizontal="right" vertical="center"/>
    </xf>
    <xf numFmtId="0" fontId="8" fillId="13" borderId="5" xfId="0" applyFont="1" applyFill="1" applyBorder="1" applyAlignment="1">
      <alignment horizontal="center" vertical="center" shrinkToFit="1"/>
    </xf>
    <xf numFmtId="0" fontId="15" fillId="4" borderId="5" xfId="0" applyFont="1" applyFill="1" applyBorder="1" applyAlignment="1">
      <alignment horizontal="center" vertical="center" wrapText="1"/>
    </xf>
    <xf numFmtId="177" fontId="5" fillId="0" borderId="5" xfId="1" applyNumberFormat="1" applyFont="1" applyBorder="1" applyAlignment="1">
      <alignment horizontal="right" vertical="center"/>
    </xf>
    <xf numFmtId="177" fontId="5" fillId="0" borderId="5" xfId="1" applyNumberFormat="1" applyFont="1" applyFill="1" applyBorder="1" applyAlignment="1">
      <alignment horizontal="right" vertical="center"/>
    </xf>
    <xf numFmtId="180" fontId="5" fillId="0" borderId="6" xfId="1" applyNumberFormat="1" applyFont="1" applyBorder="1" applyAlignment="1">
      <alignment horizontal="right" vertical="center"/>
    </xf>
    <xf numFmtId="180" fontId="5" fillId="0" borderId="45" xfId="1" applyNumberFormat="1" applyFont="1" applyBorder="1" applyAlignment="1">
      <alignment horizontal="right" vertical="center"/>
    </xf>
    <xf numFmtId="177" fontId="8" fillId="0" borderId="5" xfId="1" applyNumberFormat="1" applyFont="1" applyBorder="1" applyAlignment="1">
      <alignment horizontal="right" vertical="center"/>
    </xf>
    <xf numFmtId="180" fontId="5" fillId="0" borderId="29" xfId="1" applyNumberFormat="1" applyFont="1" applyBorder="1" applyAlignment="1">
      <alignment horizontal="right" vertical="center"/>
    </xf>
    <xf numFmtId="177" fontId="5" fillId="0" borderId="27" xfId="1" applyNumberFormat="1" applyFont="1" applyFill="1" applyBorder="1" applyAlignment="1">
      <alignment horizontal="right" vertical="center"/>
    </xf>
    <xf numFmtId="177" fontId="5" fillId="0" borderId="41" xfId="1" applyNumberFormat="1" applyFont="1" applyBorder="1" applyAlignment="1">
      <alignment horizontal="right" vertical="center"/>
    </xf>
    <xf numFmtId="177" fontId="5" fillId="0" borderId="27" xfId="0" applyNumberFormat="1" applyFont="1" applyFill="1" applyBorder="1" applyAlignment="1">
      <alignment horizontal="right" vertical="center"/>
    </xf>
    <xf numFmtId="177" fontId="5" fillId="0" borderId="27" xfId="0" applyNumberFormat="1" applyFont="1" applyBorder="1" applyAlignment="1">
      <alignment horizontal="right" vertical="center"/>
    </xf>
    <xf numFmtId="177" fontId="5" fillId="0" borderId="48" xfId="1" applyNumberFormat="1" applyFont="1" applyFill="1" applyBorder="1" applyAlignment="1">
      <alignment horizontal="right" vertical="center"/>
    </xf>
    <xf numFmtId="177" fontId="5" fillId="0" borderId="47" xfId="1" applyNumberFormat="1" applyFont="1" applyBorder="1" applyAlignment="1">
      <alignment horizontal="right" vertical="center"/>
    </xf>
    <xf numFmtId="177" fontId="5" fillId="0" borderId="48" xfId="1" applyNumberFormat="1" applyFont="1" applyBorder="1" applyAlignment="1">
      <alignment horizontal="right" vertical="center"/>
    </xf>
    <xf numFmtId="180" fontId="5" fillId="0" borderId="7" xfId="1" applyNumberFormat="1" applyFont="1" applyBorder="1" applyAlignment="1">
      <alignment horizontal="right" vertical="center"/>
    </xf>
    <xf numFmtId="177" fontId="5" fillId="11" borderId="5" xfId="0" applyNumberFormat="1" applyFont="1" applyFill="1" applyBorder="1" applyAlignment="1">
      <alignment horizontal="right" vertical="center"/>
    </xf>
    <xf numFmtId="0" fontId="22" fillId="3" borderId="0" xfId="0" applyFont="1" applyFill="1" applyBorder="1" applyAlignment="1">
      <alignment horizontal="left" vertical="center"/>
    </xf>
    <xf numFmtId="0" fontId="22" fillId="3" borderId="0" xfId="0" applyFont="1" applyFill="1" applyBorder="1" applyAlignment="1">
      <alignment horizontal="left" vertical="center" wrapText="1"/>
    </xf>
    <xf numFmtId="177" fontId="9" fillId="0" borderId="5" xfId="1" applyNumberFormat="1" applyFont="1" applyBorder="1">
      <alignment vertical="center"/>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16" fillId="0" borderId="26" xfId="0" applyFont="1" applyBorder="1" applyAlignment="1">
      <alignment vertical="top" wrapText="1"/>
    </xf>
    <xf numFmtId="0" fontId="16" fillId="0" borderId="26" xfId="0" applyFont="1" applyFill="1" applyBorder="1" applyAlignment="1">
      <alignment vertical="top" wrapText="1"/>
    </xf>
    <xf numFmtId="0" fontId="21" fillId="0" borderId="0" xfId="0" applyFont="1" applyAlignment="1">
      <alignment horizontal="center" vertical="center"/>
    </xf>
    <xf numFmtId="0" fontId="22" fillId="15" borderId="100" xfId="0" applyFont="1" applyFill="1" applyBorder="1" applyAlignment="1">
      <alignment horizontal="center" vertical="center"/>
    </xf>
    <xf numFmtId="0" fontId="11" fillId="3" borderId="101" xfId="0" applyFont="1" applyFill="1" applyBorder="1" applyAlignment="1" applyProtection="1">
      <alignment horizontal="left" vertical="center"/>
      <protection locked="0"/>
    </xf>
    <xf numFmtId="176" fontId="22" fillId="15" borderId="83" xfId="0" applyNumberFormat="1" applyFont="1" applyFill="1" applyBorder="1" applyAlignment="1">
      <alignment horizontal="center" vertical="center"/>
    </xf>
    <xf numFmtId="181" fontId="5" fillId="0" borderId="102" xfId="0" applyNumberFormat="1" applyFont="1" applyBorder="1" applyAlignment="1">
      <alignment vertical="center"/>
    </xf>
    <xf numFmtId="0" fontId="21" fillId="15" borderId="83" xfId="0" applyFont="1" applyFill="1" applyBorder="1" applyAlignment="1">
      <alignment horizontal="center" vertical="center"/>
    </xf>
    <xf numFmtId="0" fontId="5" fillId="0" borderId="88" xfId="0" applyFont="1" applyBorder="1" applyAlignment="1">
      <alignment horizontal="center" vertical="center"/>
    </xf>
    <xf numFmtId="176" fontId="17" fillId="0" borderId="88" xfId="0" applyNumberFormat="1" applyFont="1" applyBorder="1" applyProtection="1">
      <alignment vertical="center"/>
      <protection locked="0"/>
    </xf>
    <xf numFmtId="0" fontId="22" fillId="15" borderId="100" xfId="0" applyFont="1" applyFill="1" applyBorder="1" applyAlignment="1">
      <alignment horizontal="center" vertical="center" shrinkToFit="1"/>
    </xf>
    <xf numFmtId="0" fontId="11" fillId="3" borderId="88" xfId="0" applyFont="1" applyFill="1" applyBorder="1" applyAlignment="1">
      <alignment horizontal="left" vertical="center"/>
    </xf>
    <xf numFmtId="0" fontId="11" fillId="3" borderId="0" xfId="0" applyFont="1" applyFill="1" applyAlignment="1">
      <alignment horizontal="left" vertical="center" wrapText="1"/>
    </xf>
    <xf numFmtId="0" fontId="17" fillId="3" borderId="88" xfId="0" applyFont="1" applyFill="1" applyBorder="1" applyAlignment="1">
      <alignment horizontal="right" vertical="center"/>
    </xf>
    <xf numFmtId="182" fontId="5" fillId="6" borderId="0" xfId="0" applyNumberFormat="1" applyFont="1" applyFill="1" applyBorder="1">
      <alignment vertical="center"/>
    </xf>
    <xf numFmtId="0" fontId="8" fillId="18" borderId="5" xfId="0" applyFont="1" applyFill="1" applyBorder="1" applyAlignment="1">
      <alignment horizontal="center" vertical="center"/>
    </xf>
    <xf numFmtId="176" fontId="5" fillId="0" borderId="10" xfId="0" applyNumberFormat="1" applyFont="1" applyBorder="1" applyAlignment="1">
      <alignment horizontal="right" vertical="center"/>
    </xf>
    <xf numFmtId="176" fontId="5" fillId="0" borderId="10" xfId="0" applyNumberFormat="1" applyFont="1" applyBorder="1">
      <alignment vertical="center"/>
    </xf>
    <xf numFmtId="0" fontId="11" fillId="8" borderId="0" xfId="0" applyFont="1" applyFill="1">
      <alignment vertical="center"/>
    </xf>
    <xf numFmtId="0" fontId="17" fillId="0" borderId="55" xfId="0" applyFont="1" applyBorder="1" applyAlignment="1">
      <alignment vertical="center" shrinkToFit="1"/>
    </xf>
    <xf numFmtId="0" fontId="5" fillId="0" borderId="55" xfId="0" applyFont="1" applyBorder="1" applyAlignment="1">
      <alignment vertical="center" shrinkToFit="1"/>
    </xf>
    <xf numFmtId="177" fontId="5" fillId="0" borderId="29" xfId="0" applyNumberFormat="1" applyFont="1" applyBorder="1" applyAlignment="1">
      <alignment horizontal="right" vertical="center"/>
    </xf>
    <xf numFmtId="176" fontId="8" fillId="18" borderId="10" xfId="0" applyNumberFormat="1" applyFont="1" applyFill="1" applyBorder="1" applyAlignment="1">
      <alignment horizontal="right" vertical="center"/>
    </xf>
    <xf numFmtId="176" fontId="8" fillId="19" borderId="10" xfId="0" applyNumberFormat="1" applyFont="1" applyFill="1" applyBorder="1">
      <alignment vertical="center"/>
    </xf>
    <xf numFmtId="177" fontId="8" fillId="18" borderId="29" xfId="0" applyNumberFormat="1" applyFont="1" applyFill="1" applyBorder="1" applyAlignment="1">
      <alignment horizontal="right" vertical="center"/>
    </xf>
    <xf numFmtId="177" fontId="5" fillId="0" borderId="29" xfId="1" applyNumberFormat="1" applyFont="1" applyBorder="1">
      <alignment vertical="center"/>
    </xf>
    <xf numFmtId="0" fontId="5" fillId="0" borderId="6" xfId="0" applyFont="1" applyBorder="1" applyAlignment="1">
      <alignment horizontal="left" vertical="center"/>
    </xf>
    <xf numFmtId="0" fontId="11" fillId="8" borderId="0" xfId="0" applyFont="1" applyFill="1" applyAlignment="1">
      <alignment vertical="center" wrapText="1"/>
    </xf>
    <xf numFmtId="0" fontId="5" fillId="0" borderId="29" xfId="0" applyFont="1" applyBorder="1" applyAlignment="1">
      <alignment horizontal="left" vertical="center"/>
    </xf>
    <xf numFmtId="176" fontId="17" fillId="3" borderId="0" xfId="0" applyNumberFormat="1" applyFont="1" applyFill="1">
      <alignment vertical="center"/>
    </xf>
    <xf numFmtId="176" fontId="11" fillId="3" borderId="0" xfId="0" applyNumberFormat="1" applyFont="1" applyFill="1">
      <alignment vertical="center"/>
    </xf>
    <xf numFmtId="177" fontId="5" fillId="0" borderId="0" xfId="0" applyNumberFormat="1" applyFont="1" applyBorder="1" applyAlignment="1">
      <alignment horizontal="right" vertical="center"/>
    </xf>
    <xf numFmtId="0" fontId="26" fillId="0" borderId="0" xfId="0" applyFont="1" applyAlignment="1">
      <alignment vertical="top" wrapText="1"/>
    </xf>
    <xf numFmtId="176" fontId="5" fillId="0" borderId="6" xfId="0" applyNumberFormat="1" applyFont="1" applyBorder="1" applyAlignment="1">
      <alignment horizontal="right" vertical="center"/>
    </xf>
    <xf numFmtId="176" fontId="5" fillId="0" borderId="6" xfId="0" applyNumberFormat="1" applyFont="1" applyBorder="1">
      <alignment vertical="center"/>
    </xf>
    <xf numFmtId="0" fontId="17" fillId="0" borderId="0" xfId="0" applyFont="1">
      <alignment vertical="center"/>
    </xf>
    <xf numFmtId="0" fontId="16" fillId="0" borderId="6" xfId="0" applyFont="1" applyBorder="1" applyAlignment="1">
      <alignment horizontal="left" vertical="center"/>
    </xf>
    <xf numFmtId="0" fontId="16" fillId="0" borderId="29" xfId="0" applyFont="1" applyBorder="1" applyAlignment="1">
      <alignment horizontal="left" vertical="center"/>
    </xf>
    <xf numFmtId="0" fontId="16" fillId="0" borderId="6" xfId="0" applyFont="1" applyBorder="1" applyAlignment="1">
      <alignment vertical="center"/>
    </xf>
    <xf numFmtId="0" fontId="16" fillId="0" borderId="29" xfId="0" applyFont="1" applyBorder="1">
      <alignment vertical="center"/>
    </xf>
    <xf numFmtId="0" fontId="16" fillId="0" borderId="29" xfId="0" applyFont="1" applyBorder="1" applyAlignment="1">
      <alignment vertical="center"/>
    </xf>
    <xf numFmtId="38" fontId="5" fillId="0" borderId="0" xfId="0" applyNumberFormat="1" applyFont="1" applyAlignment="1">
      <alignment vertical="center" wrapText="1"/>
    </xf>
    <xf numFmtId="177" fontId="5" fillId="0" borderId="29" xfId="0" applyNumberFormat="1" applyFont="1" applyBorder="1">
      <alignment vertical="center"/>
    </xf>
    <xf numFmtId="177" fontId="8" fillId="0" borderId="0" xfId="0" applyNumberFormat="1" applyFont="1" applyFill="1" applyBorder="1" applyAlignment="1">
      <alignment horizontal="right" vertical="center"/>
    </xf>
    <xf numFmtId="0" fontId="8" fillId="18" borderId="5" xfId="0" applyFont="1" applyFill="1" applyBorder="1" applyAlignment="1">
      <alignment horizontal="center" vertical="center" wrapText="1"/>
    </xf>
    <xf numFmtId="0" fontId="8" fillId="18" borderId="6" xfId="0" applyFont="1" applyFill="1" applyBorder="1" applyAlignment="1">
      <alignment horizontal="left" vertical="center" indent="1"/>
    </xf>
    <xf numFmtId="0" fontId="8" fillId="18" borderId="29" xfId="0" applyFont="1" applyFill="1" applyBorder="1" applyAlignment="1">
      <alignment horizontal="left" vertical="center" indent="1"/>
    </xf>
    <xf numFmtId="0" fontId="11" fillId="3" borderId="0" xfId="0" applyFont="1" applyFill="1" applyAlignment="1">
      <alignment vertical="center"/>
    </xf>
    <xf numFmtId="38" fontId="8" fillId="6" borderId="31" xfId="0" applyNumberFormat="1" applyFont="1" applyFill="1" applyBorder="1">
      <alignment vertical="center"/>
    </xf>
    <xf numFmtId="177" fontId="5" fillId="0" borderId="12" xfId="0" applyNumberFormat="1" applyFont="1" applyBorder="1" applyAlignment="1">
      <alignment horizontal="right" vertical="center"/>
    </xf>
    <xf numFmtId="176" fontId="5" fillId="0" borderId="103" xfId="0" applyNumberFormat="1" applyFont="1" applyBorder="1" applyAlignment="1">
      <alignment horizontal="right" vertical="center"/>
    </xf>
    <xf numFmtId="176" fontId="5" fillId="0" borderId="104" xfId="0" applyNumberFormat="1" applyFont="1" applyBorder="1" applyAlignment="1">
      <alignment horizontal="right" vertical="center"/>
    </xf>
    <xf numFmtId="176" fontId="17" fillId="3" borderId="0" xfId="0" applyNumberFormat="1" applyFont="1" applyFill="1" applyAlignment="1">
      <alignment vertical="center"/>
    </xf>
    <xf numFmtId="176" fontId="17" fillId="0" borderId="0" xfId="0" applyNumberFormat="1" applyFont="1" applyAlignment="1">
      <alignment vertical="center"/>
    </xf>
    <xf numFmtId="177" fontId="5" fillId="0" borderId="7" xfId="0" applyNumberFormat="1" applyFont="1" applyBorder="1" applyAlignment="1">
      <alignment horizontal="right" vertical="center"/>
    </xf>
    <xf numFmtId="0" fontId="16" fillId="0" borderId="8" xfId="0" applyFont="1" applyBorder="1" applyAlignment="1">
      <alignment horizontal="left" vertical="center"/>
    </xf>
    <xf numFmtId="0" fontId="16" fillId="0" borderId="44" xfId="0" applyFont="1" applyBorder="1" applyAlignment="1">
      <alignment horizontal="left" vertical="center"/>
    </xf>
    <xf numFmtId="0" fontId="5" fillId="0" borderId="105" xfId="0" applyFont="1" applyBorder="1">
      <alignment vertical="center"/>
    </xf>
    <xf numFmtId="0" fontId="10" fillId="0" borderId="0" xfId="0" applyFont="1">
      <alignment vertical="center"/>
    </xf>
    <xf numFmtId="0" fontId="15" fillId="18" borderId="5" xfId="0" applyFont="1" applyFill="1" applyBorder="1" applyAlignment="1">
      <alignment horizontal="center" vertical="center"/>
    </xf>
    <xf numFmtId="0" fontId="15" fillId="18" borderId="5" xfId="0" applyFont="1" applyFill="1" applyBorder="1" applyAlignment="1">
      <alignment horizontal="center" vertical="center" wrapText="1"/>
    </xf>
    <xf numFmtId="176" fontId="16" fillId="0" borderId="6" xfId="0" applyNumberFormat="1" applyFont="1" applyBorder="1" applyAlignment="1">
      <alignment horizontal="right" vertical="center"/>
    </xf>
    <xf numFmtId="176" fontId="16" fillId="0" borderId="6" xfId="0" applyNumberFormat="1" applyFont="1" applyBorder="1">
      <alignment vertical="center"/>
    </xf>
    <xf numFmtId="0" fontId="11" fillId="0" borderId="0" xfId="0" applyFont="1" applyBorder="1" applyAlignment="1">
      <alignment horizontal="right" vertical="center"/>
    </xf>
    <xf numFmtId="38" fontId="11" fillId="0" borderId="0" xfId="0" applyNumberFormat="1" applyFont="1" applyBorder="1" applyAlignment="1">
      <alignment horizontal="right" vertical="center"/>
    </xf>
    <xf numFmtId="177" fontId="16" fillId="0" borderId="29" xfId="0" applyNumberFormat="1" applyFont="1" applyBorder="1" applyAlignment="1">
      <alignment horizontal="right" vertical="center"/>
    </xf>
    <xf numFmtId="176" fontId="15" fillId="18" borderId="6" xfId="0" applyNumberFormat="1" applyFont="1" applyFill="1" applyBorder="1" applyAlignment="1">
      <alignment horizontal="right" vertical="center"/>
    </xf>
    <xf numFmtId="177" fontId="15" fillId="18" borderId="29" xfId="0" applyNumberFormat="1" applyFont="1" applyFill="1" applyBorder="1" applyAlignment="1">
      <alignment horizontal="right" vertical="center"/>
    </xf>
    <xf numFmtId="0" fontId="33" fillId="0" borderId="0" xfId="0" applyFont="1">
      <alignment vertical="center"/>
    </xf>
    <xf numFmtId="3" fontId="5" fillId="0" borderId="0" xfId="0" applyNumberFormat="1" applyFont="1">
      <alignment vertical="center"/>
    </xf>
    <xf numFmtId="0" fontId="13" fillId="0" borderId="0" xfId="0" applyFont="1">
      <alignment vertical="center"/>
    </xf>
    <xf numFmtId="0" fontId="14" fillId="5" borderId="6" xfId="0" applyFont="1" applyFill="1" applyBorder="1" applyAlignment="1">
      <alignment horizontal="center" vertical="center"/>
    </xf>
    <xf numFmtId="0" fontId="14" fillId="5" borderId="29" xfId="0" applyFont="1" applyFill="1" applyBorder="1" applyAlignment="1">
      <alignment horizontal="center" vertical="center"/>
    </xf>
    <xf numFmtId="0" fontId="34" fillId="5" borderId="5" xfId="0" applyFont="1" applyFill="1" applyBorder="1" applyAlignment="1">
      <alignment horizontal="center" vertical="center" textRotation="255"/>
    </xf>
    <xf numFmtId="0" fontId="34" fillId="5" borderId="5" xfId="0" applyFont="1" applyFill="1" applyBorder="1" applyAlignment="1">
      <alignment horizontal="center" vertical="center" textRotation="255" wrapText="1"/>
    </xf>
    <xf numFmtId="176" fontId="13" fillId="0" borderId="5" xfId="0" applyNumberFormat="1" applyFont="1" applyBorder="1" applyAlignment="1">
      <alignment vertical="center" shrinkToFit="1"/>
    </xf>
    <xf numFmtId="176" fontId="14" fillId="0" borderId="5" xfId="0" applyNumberFormat="1" applyFont="1" applyBorder="1" applyAlignment="1">
      <alignment vertical="center" shrinkToFit="1"/>
    </xf>
    <xf numFmtId="0" fontId="13" fillId="0" borderId="5" xfId="0" applyFont="1" applyBorder="1" applyAlignment="1">
      <alignment horizontal="left" vertical="center" shrinkToFit="1"/>
    </xf>
    <xf numFmtId="186" fontId="9" fillId="0" borderId="5" xfId="7" applyNumberFormat="1" applyFont="1" applyBorder="1">
      <alignment vertical="center"/>
    </xf>
    <xf numFmtId="186" fontId="9" fillId="0" borderId="5" xfId="0" applyNumberFormat="1" applyFont="1" applyBorder="1" applyAlignment="1">
      <alignment horizontal="right" vertical="center"/>
    </xf>
    <xf numFmtId="186" fontId="9" fillId="0" borderId="5" xfId="0" applyNumberFormat="1" applyFont="1" applyBorder="1">
      <alignment vertical="center"/>
    </xf>
    <xf numFmtId="0" fontId="10" fillId="2" borderId="66" xfId="0" applyFont="1" applyFill="1" applyBorder="1" applyAlignment="1">
      <alignment horizontal="center" vertical="center"/>
    </xf>
    <xf numFmtId="0" fontId="10" fillId="2" borderId="67" xfId="0" applyFont="1" applyFill="1" applyBorder="1" applyAlignment="1">
      <alignment horizontal="center" vertical="center"/>
    </xf>
    <xf numFmtId="0" fontId="9" fillId="0" borderId="0" xfId="0" applyFont="1" applyAlignment="1">
      <alignment vertical="center"/>
    </xf>
    <xf numFmtId="0" fontId="10" fillId="17" borderId="66" xfId="0" applyFont="1" applyFill="1" applyBorder="1" applyAlignment="1">
      <alignment horizontal="center" vertical="center"/>
    </xf>
    <xf numFmtId="0" fontId="10" fillId="17" borderId="67" xfId="0" applyFont="1" applyFill="1" applyBorder="1" applyAlignment="1">
      <alignment horizontal="center" vertical="center"/>
    </xf>
    <xf numFmtId="0" fontId="10" fillId="17" borderId="5"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55" xfId="0" applyFont="1" applyBorder="1">
      <alignment vertical="center"/>
    </xf>
    <xf numFmtId="0" fontId="9" fillId="0" borderId="55" xfId="0" applyFont="1" applyBorder="1" applyAlignment="1">
      <alignment horizontal="center" vertical="center"/>
    </xf>
    <xf numFmtId="0" fontId="9" fillId="0" borderId="55" xfId="0" applyFont="1" applyBorder="1" applyAlignment="1">
      <alignment horizontal="center" vertical="center" shrinkToFit="1"/>
    </xf>
    <xf numFmtId="0" fontId="9" fillId="0" borderId="55" xfId="0" applyFont="1" applyBorder="1" applyAlignment="1">
      <alignment horizontal="left" vertical="center"/>
    </xf>
    <xf numFmtId="186" fontId="9" fillId="0" borderId="55" xfId="0" applyNumberFormat="1" applyFont="1" applyBorder="1">
      <alignment vertical="center"/>
    </xf>
    <xf numFmtId="177" fontId="9" fillId="0" borderId="55" xfId="1" applyNumberFormat="1" applyFont="1" applyBorder="1">
      <alignment vertical="center"/>
    </xf>
    <xf numFmtId="0" fontId="35" fillId="0" borderId="55" xfId="0" applyFont="1" applyFill="1" applyBorder="1" applyAlignment="1">
      <alignment horizontal="center" vertical="center"/>
    </xf>
    <xf numFmtId="0" fontId="9" fillId="0" borderId="55" xfId="0" applyFont="1" applyBorder="1" applyAlignment="1">
      <alignment horizontal="left" vertical="center" wrapText="1"/>
    </xf>
    <xf numFmtId="186" fontId="9" fillId="0" borderId="55" xfId="7" applyNumberFormat="1" applyFont="1" applyBorder="1">
      <alignment vertical="center"/>
    </xf>
    <xf numFmtId="177" fontId="9" fillId="0" borderId="0" xfId="1" applyNumberFormat="1" applyFont="1">
      <alignment vertical="center"/>
    </xf>
    <xf numFmtId="0" fontId="35" fillId="0" borderId="55" xfId="0" applyFont="1" applyBorder="1" applyAlignment="1">
      <alignment horizontal="center" vertical="center"/>
    </xf>
    <xf numFmtId="0" fontId="36" fillId="0" borderId="55" xfId="0" applyFont="1" applyBorder="1" applyAlignment="1">
      <alignment vertical="center" wrapText="1"/>
    </xf>
    <xf numFmtId="0" fontId="9" fillId="16" borderId="0" xfId="0" applyNumberFormat="1" applyFont="1" applyFill="1">
      <alignment vertical="center"/>
    </xf>
    <xf numFmtId="0" fontId="9" fillId="0" borderId="55" xfId="0" applyFont="1" applyBorder="1" applyAlignment="1">
      <alignment vertical="center" wrapText="1"/>
    </xf>
    <xf numFmtId="0" fontId="37" fillId="0" borderId="5" xfId="0" applyFont="1" applyBorder="1" applyAlignment="1">
      <alignment vertical="top" wrapText="1"/>
    </xf>
    <xf numFmtId="0" fontId="37" fillId="0" borderId="5" xfId="0" applyFont="1" applyFill="1" applyBorder="1" applyAlignment="1">
      <alignment vertical="top" wrapText="1"/>
    </xf>
    <xf numFmtId="0" fontId="9" fillId="0" borderId="55" xfId="0" applyFont="1" applyBorder="1" applyAlignment="1">
      <alignment horizontal="center" vertical="center" shrinkToFit="1"/>
    </xf>
    <xf numFmtId="0" fontId="5" fillId="0" borderId="106" xfId="0" applyFont="1" applyBorder="1">
      <alignment vertical="center"/>
    </xf>
    <xf numFmtId="0" fontId="5" fillId="0" borderId="102" xfId="0" applyFont="1" applyBorder="1">
      <alignment vertical="center"/>
    </xf>
    <xf numFmtId="0" fontId="5" fillId="0" borderId="85" xfId="0" applyFont="1" applyBorder="1">
      <alignment vertical="center"/>
    </xf>
    <xf numFmtId="0" fontId="14" fillId="5" borderId="7" xfId="0" applyFont="1" applyFill="1" applyBorder="1" applyAlignment="1">
      <alignment horizontal="center" vertical="center"/>
    </xf>
    <xf numFmtId="0" fontId="34" fillId="5" borderId="6" xfId="0" applyFont="1" applyFill="1" applyBorder="1" applyAlignment="1">
      <alignment horizontal="center" vertical="center" textRotation="255"/>
    </xf>
    <xf numFmtId="0" fontId="34" fillId="5" borderId="6" xfId="0" applyFont="1" applyFill="1" applyBorder="1" applyAlignment="1">
      <alignment horizontal="center" vertical="center" textRotation="255" wrapText="1"/>
    </xf>
    <xf numFmtId="0" fontId="13" fillId="0" borderId="29" xfId="0" applyFont="1" applyBorder="1" applyAlignment="1">
      <alignment horizontal="left" vertical="center" shrinkToFit="1"/>
    </xf>
    <xf numFmtId="176" fontId="13" fillId="0" borderId="29" xfId="0" applyNumberFormat="1" applyFont="1" applyBorder="1" applyAlignment="1">
      <alignment vertical="center" shrinkToFit="1"/>
    </xf>
    <xf numFmtId="176" fontId="14" fillId="0" borderId="29" xfId="0" applyNumberFormat="1" applyFont="1" applyBorder="1" applyAlignment="1">
      <alignment vertical="center" shrinkToFit="1"/>
    </xf>
    <xf numFmtId="0" fontId="13" fillId="0" borderId="107" xfId="0" applyFont="1" applyBorder="1" applyAlignment="1">
      <alignment vertical="center" shrinkToFit="1"/>
    </xf>
    <xf numFmtId="176" fontId="14" fillId="0" borderId="108" xfId="0" applyNumberFormat="1" applyFont="1" applyBorder="1" applyAlignment="1">
      <alignment vertical="center" shrinkToFit="1"/>
    </xf>
    <xf numFmtId="176" fontId="14" fillId="0" borderId="109" xfId="0" applyNumberFormat="1" applyFont="1" applyBorder="1" applyAlignment="1">
      <alignment vertical="center" shrinkToFit="1"/>
    </xf>
    <xf numFmtId="0" fontId="13" fillId="0" borderId="6" xfId="0" applyFont="1" applyBorder="1" applyAlignment="1">
      <alignment horizontal="left" vertical="center" shrinkToFit="1"/>
    </xf>
    <xf numFmtId="176" fontId="13" fillId="0" borderId="6" xfId="0" applyNumberFormat="1" applyFont="1" applyBorder="1" applyAlignment="1">
      <alignment vertical="center" shrinkToFit="1"/>
    </xf>
    <xf numFmtId="176" fontId="14" fillId="0" borderId="6" xfId="0" applyNumberFormat="1" applyFont="1" applyBorder="1" applyAlignment="1">
      <alignment vertical="center" shrinkToFit="1"/>
    </xf>
    <xf numFmtId="0" fontId="13" fillId="0" borderId="29" xfId="0" applyFont="1" applyBorder="1" applyAlignment="1">
      <alignment vertical="center" shrinkToFit="1"/>
    </xf>
    <xf numFmtId="0" fontId="13" fillId="0" borderId="6" xfId="0" applyFont="1" applyBorder="1" applyAlignment="1">
      <alignment vertical="center" shrinkToFit="1"/>
    </xf>
    <xf numFmtId="0" fontId="13" fillId="0" borderId="107" xfId="0" applyFont="1" applyFill="1" applyBorder="1" applyAlignment="1">
      <alignment vertical="center" shrinkToFit="1"/>
    </xf>
    <xf numFmtId="0" fontId="14" fillId="5" borderId="29" xfId="0" applyFont="1" applyFill="1" applyBorder="1" applyAlignment="1">
      <alignment horizontal="center" vertical="center" shrinkToFit="1"/>
    </xf>
    <xf numFmtId="176" fontId="14" fillId="5" borderId="29" xfId="0" applyNumberFormat="1" applyFont="1" applyFill="1" applyBorder="1" applyAlignment="1">
      <alignment vertical="center" shrinkToFit="1"/>
    </xf>
    <xf numFmtId="176" fontId="13" fillId="0" borderId="108" xfId="0" applyNumberFormat="1" applyFont="1" applyBorder="1" applyAlignment="1">
      <alignment vertical="center" shrinkToFit="1"/>
    </xf>
    <xf numFmtId="177" fontId="8" fillId="10" borderId="5" xfId="1" applyNumberFormat="1" applyFont="1" applyFill="1" applyBorder="1" applyAlignment="1">
      <alignment horizontal="right" vertical="center" shrinkToFit="1"/>
    </xf>
    <xf numFmtId="177" fontId="8" fillId="12" borderId="5" xfId="1" applyNumberFormat="1" applyFont="1" applyFill="1" applyBorder="1" applyAlignment="1">
      <alignment vertical="center" shrinkToFit="1"/>
    </xf>
    <xf numFmtId="176" fontId="8" fillId="18" borderId="10" xfId="0" applyNumberFormat="1" applyFont="1" applyFill="1" applyBorder="1" applyAlignment="1">
      <alignment horizontal="right" vertical="center" shrinkToFit="1"/>
    </xf>
    <xf numFmtId="176" fontId="8" fillId="19" borderId="10" xfId="0" applyNumberFormat="1" applyFont="1" applyFill="1" applyBorder="1" applyAlignment="1">
      <alignment vertical="center" shrinkToFit="1"/>
    </xf>
    <xf numFmtId="177" fontId="8" fillId="18" borderId="29" xfId="0" applyNumberFormat="1" applyFont="1" applyFill="1" applyBorder="1" applyAlignment="1">
      <alignment horizontal="right" vertical="center" shrinkToFit="1"/>
    </xf>
    <xf numFmtId="176" fontId="8" fillId="19" borderId="0" xfId="0" applyNumberFormat="1" applyFont="1" applyFill="1" applyBorder="1" applyAlignment="1">
      <alignment vertical="center" shrinkToFit="1"/>
    </xf>
    <xf numFmtId="177" fontId="8" fillId="18" borderId="0" xfId="0" applyNumberFormat="1" applyFont="1" applyFill="1" applyBorder="1" applyAlignment="1">
      <alignment horizontal="right" vertical="center" shrinkToFit="1"/>
    </xf>
    <xf numFmtId="0" fontId="38" fillId="0" borderId="0" xfId="0" applyFont="1" applyAlignment="1">
      <alignment horizontal="distributed" vertical="center" wrapText="1"/>
    </xf>
    <xf numFmtId="0" fontId="5" fillId="0" borderId="75" xfId="0" applyFont="1" applyBorder="1" applyAlignment="1">
      <alignment horizontal="left" vertical="center" wrapText="1" indent="1"/>
    </xf>
    <xf numFmtId="0" fontId="5" fillId="0" borderId="72" xfId="0" applyFont="1" applyBorder="1" applyAlignment="1">
      <alignment horizontal="left" vertical="center" wrapText="1" indent="1"/>
    </xf>
    <xf numFmtId="0" fontId="16" fillId="0" borderId="5" xfId="0" applyFont="1" applyBorder="1" applyAlignment="1">
      <alignment vertical="center"/>
    </xf>
    <xf numFmtId="38" fontId="11" fillId="0" borderId="0" xfId="0" applyNumberFormat="1" applyFont="1" applyBorder="1">
      <alignment vertical="center"/>
    </xf>
    <xf numFmtId="0" fontId="5" fillId="0" borderId="70" xfId="0" applyFont="1" applyBorder="1" applyAlignment="1">
      <alignment horizontal="left" vertical="center" wrapText="1"/>
    </xf>
    <xf numFmtId="0" fontId="0" fillId="0" borderId="2" xfId="0" applyBorder="1" applyAlignment="1">
      <alignment horizontal="left" vertical="center" wrapText="1"/>
    </xf>
    <xf numFmtId="0" fontId="5" fillId="0" borderId="26" xfId="0" applyFont="1" applyBorder="1" applyAlignment="1">
      <alignment horizontal="left" vertical="center"/>
    </xf>
    <xf numFmtId="0" fontId="5" fillId="0" borderId="28" xfId="0" applyFont="1" applyBorder="1" applyAlignment="1">
      <alignment horizontal="left" vertical="center"/>
    </xf>
    <xf numFmtId="0" fontId="5" fillId="0" borderId="70" xfId="0" applyFont="1" applyBorder="1" applyAlignment="1">
      <alignment horizontal="left" vertical="center"/>
    </xf>
    <xf numFmtId="0" fontId="5" fillId="0" borderId="2" xfId="0" applyFont="1" applyBorder="1" applyAlignment="1">
      <alignment horizontal="left" vertical="center"/>
    </xf>
    <xf numFmtId="0" fontId="5" fillId="0" borderId="26" xfId="0" applyFont="1" applyBorder="1" applyAlignment="1">
      <alignment horizontal="left" vertical="center" wrapText="1"/>
    </xf>
    <xf numFmtId="0" fontId="0" fillId="0" borderId="28" xfId="0" applyBorder="1" applyAlignment="1">
      <alignment horizontal="left" vertical="center" wrapText="1"/>
    </xf>
    <xf numFmtId="0" fontId="5" fillId="0" borderId="28" xfId="0" applyFont="1" applyBorder="1" applyAlignment="1">
      <alignment horizontal="left" vertical="center" wrapText="1"/>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5" fillId="0" borderId="65" xfId="0" applyFont="1" applyBorder="1" applyAlignment="1">
      <alignment horizontal="left" vertical="center" wrapText="1"/>
    </xf>
    <xf numFmtId="0" fontId="0" fillId="0" borderId="1" xfId="0" applyBorder="1" applyAlignment="1">
      <alignment horizontal="left" vertical="center" wrapText="1"/>
    </xf>
    <xf numFmtId="183" fontId="5" fillId="0" borderId="3" xfId="0" applyNumberFormat="1" applyFont="1" applyBorder="1" applyAlignment="1">
      <alignment horizontal="right" vertical="center"/>
    </xf>
    <xf numFmtId="184" fontId="5" fillId="0" borderId="3" xfId="0" applyNumberFormat="1" applyFont="1" applyBorder="1" applyAlignment="1">
      <alignment horizontal="right" vertical="center"/>
    </xf>
    <xf numFmtId="0" fontId="13" fillId="0" borderId="3" xfId="0" applyFont="1" applyBorder="1" applyAlignment="1"/>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8" fillId="12" borderId="5" xfId="0" applyFont="1" applyFill="1" applyBorder="1" applyAlignment="1">
      <alignment horizontal="left" vertical="center" wrapText="1"/>
    </xf>
    <xf numFmtId="0" fontId="8" fillId="12" borderId="5" xfId="0" applyFont="1" applyFill="1" applyBorder="1" applyAlignment="1">
      <alignment horizontal="left" vertical="center"/>
    </xf>
    <xf numFmtId="0" fontId="13" fillId="0" borderId="8" xfId="0" applyFont="1" applyFill="1" applyBorder="1" applyAlignment="1">
      <alignment horizontal="left" vertical="center"/>
    </xf>
    <xf numFmtId="0" fontId="13" fillId="0" borderId="9" xfId="0" applyFont="1" applyFill="1" applyBorder="1" applyAlignment="1">
      <alignment horizontal="left" vertical="center"/>
    </xf>
    <xf numFmtId="0" fontId="8" fillId="12" borderId="26" xfId="0" applyFont="1" applyFill="1" applyBorder="1" applyAlignment="1">
      <alignment horizontal="center" vertical="center"/>
    </xf>
    <xf numFmtId="0" fontId="8" fillId="12" borderId="28" xfId="0" applyFont="1" applyFill="1" applyBorder="1" applyAlignment="1">
      <alignment horizontal="center" vertical="center"/>
    </xf>
    <xf numFmtId="0" fontId="8" fillId="12" borderId="27" xfId="0" applyFont="1" applyFill="1" applyBorder="1" applyAlignment="1">
      <alignment horizontal="center" vertical="center"/>
    </xf>
    <xf numFmtId="0" fontId="15" fillId="12" borderId="28" xfId="0" applyFont="1" applyFill="1" applyBorder="1" applyAlignment="1">
      <alignment horizontal="center" vertical="center"/>
    </xf>
    <xf numFmtId="0" fontId="15" fillId="12" borderId="27" xfId="0" applyFont="1" applyFill="1" applyBorder="1" applyAlignment="1">
      <alignment horizontal="center" vertical="center"/>
    </xf>
    <xf numFmtId="0" fontId="5" fillId="12" borderId="5" xfId="0" applyFont="1" applyFill="1" applyBorder="1" applyAlignment="1">
      <alignment horizontal="center" vertical="center"/>
    </xf>
    <xf numFmtId="0" fontId="8" fillId="12" borderId="8" xfId="0" applyFont="1" applyFill="1" applyBorder="1" applyAlignment="1">
      <alignment horizontal="center" vertical="center"/>
    </xf>
    <xf numFmtId="0" fontId="8" fillId="12" borderId="9" xfId="0" applyFont="1" applyFill="1" applyBorder="1" applyAlignment="1">
      <alignment horizontal="center" vertical="center"/>
    </xf>
    <xf numFmtId="0" fontId="8" fillId="12" borderId="44" xfId="0" applyFont="1" applyFill="1" applyBorder="1" applyAlignment="1">
      <alignment horizontal="center" vertical="center"/>
    </xf>
    <xf numFmtId="0" fontId="8" fillId="12" borderId="46" xfId="0" applyFont="1" applyFill="1" applyBorder="1" applyAlignment="1">
      <alignment horizontal="center" vertical="center"/>
    </xf>
    <xf numFmtId="0" fontId="13" fillId="0" borderId="0" xfId="0" applyFont="1" applyBorder="1" applyAlignment="1"/>
    <xf numFmtId="0" fontId="16" fillId="0" borderId="0" xfId="0" applyNumberFormat="1" applyFont="1" applyBorder="1" applyAlignment="1">
      <alignment horizontal="right" vertical="center"/>
    </xf>
    <xf numFmtId="0" fontId="16" fillId="0" borderId="24" xfId="0" applyFont="1" applyBorder="1" applyAlignment="1">
      <alignment horizontal="right" vertical="center"/>
    </xf>
    <xf numFmtId="0" fontId="16" fillId="0" borderId="81" xfId="0" applyFont="1" applyBorder="1" applyAlignment="1">
      <alignment horizontal="right" vertical="center"/>
    </xf>
    <xf numFmtId="0" fontId="16" fillId="0" borderId="82" xfId="0" applyFont="1" applyBorder="1" applyAlignment="1">
      <alignment horizontal="right" vertical="center"/>
    </xf>
    <xf numFmtId="176" fontId="5" fillId="4" borderId="26" xfId="0" applyNumberFormat="1" applyFont="1" applyFill="1" applyBorder="1" applyAlignment="1">
      <alignment horizontal="center" vertical="center" shrinkToFit="1"/>
    </xf>
    <xf numFmtId="176" fontId="5" fillId="4" borderId="28" xfId="0" applyNumberFormat="1" applyFont="1" applyFill="1" applyBorder="1" applyAlignment="1">
      <alignment horizontal="center" vertical="center" shrinkToFit="1"/>
    </xf>
    <xf numFmtId="176" fontId="5" fillId="4" borderId="27" xfId="0" applyNumberFormat="1" applyFont="1" applyFill="1" applyBorder="1" applyAlignment="1">
      <alignment horizontal="center" vertical="center" shrinkToFit="1"/>
    </xf>
    <xf numFmtId="176" fontId="8" fillId="4" borderId="26" xfId="0" applyNumberFormat="1" applyFont="1" applyFill="1" applyBorder="1" applyAlignment="1">
      <alignment horizontal="center" vertical="center" shrinkToFit="1"/>
    </xf>
    <xf numFmtId="176" fontId="8" fillId="4" borderId="28" xfId="0" applyNumberFormat="1" applyFont="1" applyFill="1" applyBorder="1" applyAlignment="1">
      <alignment horizontal="center" vertical="center" shrinkToFit="1"/>
    </xf>
    <xf numFmtId="176" fontId="8" fillId="4" borderId="27" xfId="0" applyNumberFormat="1" applyFont="1" applyFill="1" applyBorder="1" applyAlignment="1">
      <alignment horizontal="center" vertical="center" shrinkToFit="1"/>
    </xf>
    <xf numFmtId="20" fontId="15" fillId="4" borderId="6" xfId="0" applyNumberFormat="1" applyFont="1" applyFill="1" applyBorder="1" applyAlignment="1">
      <alignment horizontal="center" vertical="center"/>
    </xf>
    <xf numFmtId="20" fontId="15" fillId="4" borderId="7" xfId="0" applyNumberFormat="1" applyFont="1" applyFill="1" applyBorder="1" applyAlignment="1">
      <alignment horizontal="center" vertical="center"/>
    </xf>
    <xf numFmtId="0" fontId="15" fillId="4" borderId="8"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15" fillId="4" borderId="9" xfId="0" applyFont="1" applyFill="1" applyBorder="1" applyAlignment="1">
      <alignment horizontal="center" vertical="center" shrinkToFit="1"/>
    </xf>
    <xf numFmtId="0" fontId="15" fillId="4" borderId="21" xfId="0" applyFont="1" applyFill="1" applyBorder="1" applyAlignment="1">
      <alignment horizontal="center" vertical="center" shrinkToFit="1"/>
    </xf>
    <xf numFmtId="0" fontId="15" fillId="4" borderId="22" xfId="0" applyFont="1" applyFill="1" applyBorder="1" applyAlignment="1">
      <alignment horizontal="center" vertical="center" shrinkToFit="1"/>
    </xf>
    <xf numFmtId="0" fontId="15" fillId="4" borderId="8"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21" xfId="0" applyFont="1" applyFill="1" applyBorder="1" applyAlignment="1">
      <alignment horizontal="center" vertical="center" wrapText="1"/>
    </xf>
    <xf numFmtId="176" fontId="8" fillId="4" borderId="26" xfId="0" applyNumberFormat="1" applyFont="1" applyFill="1" applyBorder="1" applyAlignment="1">
      <alignment horizontal="center" vertical="center"/>
    </xf>
    <xf numFmtId="176" fontId="8" fillId="4" borderId="28" xfId="0" applyNumberFormat="1" applyFont="1" applyFill="1" applyBorder="1" applyAlignment="1">
      <alignment horizontal="center" vertical="center"/>
    </xf>
    <xf numFmtId="176" fontId="8" fillId="4" borderId="27" xfId="0" applyNumberFormat="1" applyFont="1" applyFill="1" applyBorder="1" applyAlignment="1">
      <alignment horizontal="center" vertical="center"/>
    </xf>
    <xf numFmtId="0" fontId="16" fillId="8" borderId="26" xfId="0" applyFont="1" applyFill="1" applyBorder="1" applyAlignment="1">
      <alignment horizontal="right" vertical="center"/>
    </xf>
    <xf numFmtId="0" fontId="16" fillId="8" borderId="28" xfId="0" applyFont="1" applyFill="1" applyBorder="1" applyAlignment="1">
      <alignment horizontal="right" vertical="center"/>
    </xf>
    <xf numFmtId="0" fontId="16" fillId="8" borderId="27" xfId="0" applyFont="1" applyFill="1" applyBorder="1" applyAlignment="1">
      <alignment horizontal="right" vertical="center"/>
    </xf>
    <xf numFmtId="20" fontId="15" fillId="4" borderId="29" xfId="0" applyNumberFormat="1" applyFont="1" applyFill="1" applyBorder="1" applyAlignment="1">
      <alignment horizontal="center" vertical="center"/>
    </xf>
    <xf numFmtId="0" fontId="15" fillId="4" borderId="26" xfId="0" applyFont="1" applyFill="1" applyBorder="1" applyAlignment="1">
      <alignment horizontal="center" vertical="center"/>
    </xf>
    <xf numFmtId="0" fontId="15" fillId="4" borderId="28" xfId="0" applyFont="1" applyFill="1" applyBorder="1" applyAlignment="1">
      <alignment horizontal="center" vertical="center"/>
    </xf>
    <xf numFmtId="0" fontId="15" fillId="4" borderId="27"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27" xfId="0" applyFont="1" applyFill="1" applyBorder="1" applyAlignment="1">
      <alignment horizontal="center" vertical="center"/>
    </xf>
    <xf numFmtId="0" fontId="14" fillId="4" borderId="26" xfId="0" applyFont="1" applyFill="1" applyBorder="1" applyAlignment="1">
      <alignment horizontal="center" vertical="center" wrapText="1"/>
    </xf>
    <xf numFmtId="0" fontId="14" fillId="4" borderId="27" xfId="0" applyFont="1" applyFill="1" applyBorder="1" applyAlignment="1">
      <alignment horizontal="center" vertical="center" wrapText="1"/>
    </xf>
    <xf numFmtId="176" fontId="5" fillId="4" borderId="26" xfId="0" applyNumberFormat="1" applyFont="1" applyFill="1" applyBorder="1" applyAlignment="1">
      <alignment horizontal="center" vertical="center" wrapText="1"/>
    </xf>
    <xf numFmtId="176" fontId="5" fillId="4" borderId="28" xfId="0" applyNumberFormat="1" applyFont="1" applyFill="1" applyBorder="1" applyAlignment="1">
      <alignment horizontal="center" vertical="center" wrapText="1"/>
    </xf>
    <xf numFmtId="176" fontId="5" fillId="4" borderId="27" xfId="0" applyNumberFormat="1" applyFont="1" applyFill="1" applyBorder="1" applyAlignment="1">
      <alignment horizontal="center" vertical="center" wrapText="1"/>
    </xf>
    <xf numFmtId="0" fontId="15" fillId="4" borderId="26" xfId="0" applyFont="1" applyFill="1" applyBorder="1" applyAlignment="1">
      <alignment horizontal="justify" vertical="center" wrapText="1"/>
    </xf>
    <xf numFmtId="0" fontId="15" fillId="4" borderId="27" xfId="0" applyFont="1" applyFill="1" applyBorder="1" applyAlignment="1">
      <alignment horizontal="justify"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6" xfId="0" applyFont="1" applyFill="1" applyBorder="1" applyAlignment="1">
      <alignment horizontal="center" vertical="center" wrapText="1"/>
    </xf>
    <xf numFmtId="176" fontId="5" fillId="4" borderId="26" xfId="0" applyNumberFormat="1" applyFont="1" applyFill="1" applyBorder="1" applyAlignment="1">
      <alignment horizontal="center" vertical="center"/>
    </xf>
    <xf numFmtId="176" fontId="5" fillId="4" borderId="28" xfId="0" applyNumberFormat="1" applyFont="1" applyFill="1" applyBorder="1" applyAlignment="1">
      <alignment horizontal="center" vertical="center"/>
    </xf>
    <xf numFmtId="176" fontId="5" fillId="4" borderId="27" xfId="0" applyNumberFormat="1" applyFont="1" applyFill="1" applyBorder="1" applyAlignment="1">
      <alignment horizontal="center" vertical="center"/>
    </xf>
    <xf numFmtId="20" fontId="8" fillId="4" borderId="6" xfId="0" applyNumberFormat="1" applyFont="1" applyFill="1" applyBorder="1" applyAlignment="1">
      <alignment horizontal="center" vertical="center" shrinkToFit="1"/>
    </xf>
    <xf numFmtId="20" fontId="8" fillId="4" borderId="7" xfId="0" applyNumberFormat="1" applyFont="1" applyFill="1" applyBorder="1" applyAlignment="1">
      <alignment horizontal="center" vertical="center" shrinkToFit="1"/>
    </xf>
    <xf numFmtId="0" fontId="8" fillId="4" borderId="8" xfId="0" applyFont="1" applyFill="1" applyBorder="1" applyAlignment="1">
      <alignment horizontal="center" vertical="center" shrinkToFit="1"/>
    </xf>
    <xf numFmtId="0" fontId="8" fillId="4" borderId="4" xfId="0" applyFont="1" applyFill="1" applyBorder="1" applyAlignment="1">
      <alignment horizontal="center" vertical="center" shrinkToFit="1"/>
    </xf>
    <xf numFmtId="0" fontId="8" fillId="4" borderId="9" xfId="0" applyFont="1" applyFill="1" applyBorder="1" applyAlignment="1">
      <alignment horizontal="center" vertical="center" shrinkToFit="1"/>
    </xf>
    <xf numFmtId="0" fontId="14" fillId="4" borderId="13" xfId="0" applyFont="1" applyFill="1" applyBorder="1" applyAlignment="1">
      <alignment horizontal="center" vertical="center" shrinkToFit="1"/>
    </xf>
    <xf numFmtId="0" fontId="14" fillId="4" borderId="14" xfId="0" applyFont="1" applyFill="1" applyBorder="1" applyAlignment="1">
      <alignment horizontal="center" vertical="center" shrinkToFit="1"/>
    </xf>
    <xf numFmtId="0" fontId="5" fillId="0" borderId="6" xfId="0" applyFont="1" applyBorder="1" applyAlignment="1">
      <alignment horizontal="left" vertical="center"/>
    </xf>
    <xf numFmtId="0" fontId="0" fillId="0" borderId="29" xfId="0" applyBorder="1" applyAlignment="1">
      <alignment horizontal="left" vertical="center"/>
    </xf>
    <xf numFmtId="0" fontId="5" fillId="0" borderId="29" xfId="0" applyFont="1" applyBorder="1" applyAlignment="1">
      <alignment horizontal="left" vertical="center"/>
    </xf>
    <xf numFmtId="0" fontId="8" fillId="18" borderId="6" xfId="0" applyFont="1" applyFill="1" applyBorder="1" applyAlignment="1">
      <alignment horizontal="left" vertical="center"/>
    </xf>
    <xf numFmtId="0" fontId="13" fillId="0" borderId="6" xfId="0" applyFont="1" applyBorder="1" applyAlignment="1">
      <alignment horizontal="justify" vertical="center" wrapText="1"/>
    </xf>
    <xf numFmtId="0" fontId="13" fillId="0" borderId="29" xfId="0" applyFont="1" applyBorder="1" applyAlignment="1">
      <alignment horizontal="justify" vertical="center" wrapText="1"/>
    </xf>
    <xf numFmtId="0" fontId="12" fillId="0" borderId="6" xfId="0" applyFont="1" applyBorder="1" applyAlignment="1">
      <alignment horizontal="left" vertical="center" wrapText="1" indent="1"/>
    </xf>
    <xf numFmtId="0" fontId="12" fillId="0" borderId="29" xfId="0" applyFont="1" applyBorder="1" applyAlignment="1">
      <alignment horizontal="left" vertical="center" wrapText="1" indent="1"/>
    </xf>
    <xf numFmtId="0" fontId="16" fillId="0" borderId="6" xfId="0" applyFont="1" applyBorder="1" applyAlignment="1">
      <alignment horizontal="left" vertical="center"/>
    </xf>
    <xf numFmtId="0" fontId="16" fillId="0" borderId="6" xfId="0" applyFont="1" applyBorder="1" applyAlignment="1">
      <alignment horizontal="justify" vertical="center" wrapText="1"/>
    </xf>
    <xf numFmtId="0" fontId="16" fillId="0" borderId="29" xfId="0" applyFont="1" applyBorder="1" applyAlignment="1">
      <alignment horizontal="justify" vertical="center" wrapText="1"/>
    </xf>
    <xf numFmtId="0" fontId="32" fillId="0" borderId="6" xfId="0" applyFont="1" applyBorder="1" applyAlignment="1">
      <alignment horizontal="justify" vertical="center" wrapText="1"/>
    </xf>
    <xf numFmtId="0" fontId="32" fillId="0" borderId="29" xfId="0" applyFont="1" applyBorder="1" applyAlignment="1">
      <alignment horizontal="justify" vertical="center" wrapText="1"/>
    </xf>
    <xf numFmtId="0" fontId="5" fillId="0" borderId="6" xfId="0" applyFont="1" applyBorder="1" applyAlignment="1">
      <alignment horizontal="left" vertical="center" wrapText="1"/>
    </xf>
    <xf numFmtId="0" fontId="5" fillId="0" borderId="29" xfId="0" applyFont="1" applyBorder="1" applyAlignment="1">
      <alignment horizontal="left" vertical="center" wrapText="1"/>
    </xf>
    <xf numFmtId="0" fontId="5" fillId="0" borderId="6" xfId="0" applyFont="1" applyBorder="1" applyAlignment="1">
      <alignment horizontal="justify" vertical="top" wrapText="1"/>
    </xf>
    <xf numFmtId="0" fontId="5" fillId="0" borderId="29" xfId="0" applyFont="1" applyBorder="1" applyAlignment="1">
      <alignment horizontal="justify" vertical="top" wrapText="1"/>
    </xf>
    <xf numFmtId="0" fontId="5" fillId="0" borderId="6" xfId="0" applyFont="1" applyBorder="1" applyAlignment="1">
      <alignment horizontal="justify" vertical="center" wrapText="1"/>
    </xf>
    <xf numFmtId="0" fontId="5" fillId="0" borderId="29" xfId="0" applyFont="1" applyBorder="1" applyAlignment="1">
      <alignment horizontal="justify" vertical="center" wrapText="1"/>
    </xf>
    <xf numFmtId="0" fontId="5" fillId="0" borderId="6" xfId="0" applyFont="1" applyBorder="1">
      <alignment vertical="center"/>
    </xf>
    <xf numFmtId="0" fontId="5" fillId="0" borderId="29" xfId="0" applyFont="1" applyBorder="1">
      <alignment vertical="center"/>
    </xf>
    <xf numFmtId="0" fontId="8" fillId="18" borderId="6" xfId="0" applyFont="1" applyFill="1" applyBorder="1" applyAlignment="1">
      <alignment horizontal="left" vertical="center" indent="1"/>
    </xf>
    <xf numFmtId="0" fontId="8" fillId="18" borderId="29" xfId="0" applyFont="1" applyFill="1" applyBorder="1" applyAlignment="1">
      <alignment horizontal="left" vertical="center" indent="1"/>
    </xf>
    <xf numFmtId="0" fontId="8" fillId="18" borderId="29" xfId="0" applyFont="1" applyFill="1" applyBorder="1" applyAlignment="1">
      <alignment horizontal="left" vertical="center"/>
    </xf>
    <xf numFmtId="0" fontId="16" fillId="0" borderId="29" xfId="0" applyFont="1" applyBorder="1" applyAlignment="1">
      <alignment horizontal="left" vertical="center"/>
    </xf>
    <xf numFmtId="0" fontId="16" fillId="0" borderId="6" xfId="0" applyFont="1" applyBorder="1" applyAlignment="1">
      <alignment vertical="center"/>
    </xf>
    <xf numFmtId="0" fontId="16" fillId="0" borderId="29" xfId="0" applyFont="1" applyBorder="1" applyAlignment="1">
      <alignment vertical="center"/>
    </xf>
    <xf numFmtId="0" fontId="16" fillId="0" borderId="7" xfId="0" applyFont="1" applyBorder="1" applyAlignment="1">
      <alignment horizontal="justify" vertical="center" wrapText="1"/>
    </xf>
    <xf numFmtId="0" fontId="16" fillId="0" borderId="6" xfId="0" applyFont="1" applyBorder="1" applyAlignment="1">
      <alignment horizontal="justify" vertical="top" wrapText="1"/>
    </xf>
    <xf numFmtId="0" fontId="16" fillId="0" borderId="29" xfId="0" applyFont="1" applyBorder="1" applyAlignment="1">
      <alignment horizontal="justify" vertical="top" wrapText="1"/>
    </xf>
    <xf numFmtId="0" fontId="12" fillId="0" borderId="6" xfId="0" applyFont="1" applyBorder="1" applyAlignment="1">
      <alignment horizontal="justify" vertical="top" wrapText="1"/>
    </xf>
    <xf numFmtId="0" fontId="12" fillId="0" borderId="29" xfId="0" applyFont="1" applyBorder="1" applyAlignment="1">
      <alignment horizontal="justify" vertical="top" wrapText="1"/>
    </xf>
    <xf numFmtId="0" fontId="15" fillId="18" borderId="6" xfId="0" applyFont="1" applyFill="1" applyBorder="1" applyAlignment="1">
      <alignment horizontal="left" vertical="center" indent="1"/>
    </xf>
    <xf numFmtId="0" fontId="15" fillId="18" borderId="29" xfId="0" applyFont="1" applyFill="1" applyBorder="1" applyAlignment="1">
      <alignment horizontal="left" vertical="center" indent="1"/>
    </xf>
    <xf numFmtId="0" fontId="15" fillId="18" borderId="26" xfId="0" applyFont="1" applyFill="1" applyBorder="1" applyAlignment="1">
      <alignment horizontal="center" vertical="center"/>
    </xf>
    <xf numFmtId="0" fontId="15" fillId="18" borderId="28" xfId="0" applyFont="1" applyFill="1" applyBorder="1" applyAlignment="1">
      <alignment horizontal="center" vertical="center"/>
    </xf>
    <xf numFmtId="0" fontId="15" fillId="18" borderId="27" xfId="0" applyFont="1" applyFill="1" applyBorder="1" applyAlignment="1">
      <alignment horizontal="center" vertical="center"/>
    </xf>
    <xf numFmtId="0" fontId="15" fillId="18" borderId="6" xfId="0" applyFont="1" applyFill="1" applyBorder="1" applyAlignment="1">
      <alignment horizontal="center" vertical="center"/>
    </xf>
    <xf numFmtId="0" fontId="15" fillId="18" borderId="29" xfId="0" applyFont="1" applyFill="1" applyBorder="1" applyAlignment="1">
      <alignment horizontal="center" vertical="center"/>
    </xf>
    <xf numFmtId="0" fontId="14" fillId="5" borderId="26" xfId="0" applyFont="1" applyFill="1" applyBorder="1" applyAlignment="1">
      <alignment horizontal="center" vertical="center"/>
    </xf>
    <xf numFmtId="0" fontId="14" fillId="5" borderId="28" xfId="0" applyFont="1" applyFill="1" applyBorder="1" applyAlignment="1">
      <alignment horizontal="center" vertical="center"/>
    </xf>
    <xf numFmtId="0" fontId="14" fillId="5" borderId="27"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29" xfId="0" applyFont="1" applyFill="1" applyBorder="1" applyAlignment="1">
      <alignment horizontal="center" vertical="center"/>
    </xf>
    <xf numFmtId="0" fontId="14" fillId="5" borderId="7" xfId="0" applyFont="1" applyFill="1" applyBorder="1" applyAlignment="1">
      <alignment horizontal="center" vertical="center"/>
    </xf>
    <xf numFmtId="0" fontId="5" fillId="0" borderId="70" xfId="0" applyFont="1" applyBorder="1" applyAlignment="1">
      <alignment vertical="center" wrapText="1"/>
    </xf>
    <xf numFmtId="0" fontId="0" fillId="0" borderId="2" xfId="0" applyBorder="1" applyAlignment="1">
      <alignment vertical="center" wrapText="1"/>
    </xf>
    <xf numFmtId="0" fontId="5" fillId="0" borderId="70" xfId="0" applyFont="1" applyBorder="1" applyAlignment="1">
      <alignment vertical="center"/>
    </xf>
    <xf numFmtId="0" fontId="5" fillId="0" borderId="2" xfId="0" applyFont="1" applyBorder="1" applyAlignment="1">
      <alignment vertical="center"/>
    </xf>
    <xf numFmtId="0" fontId="5" fillId="0" borderId="99" xfId="0" applyFont="1" applyBorder="1" applyAlignment="1">
      <alignment vertical="center" wrapText="1"/>
    </xf>
    <xf numFmtId="0" fontId="5" fillId="0" borderId="2" xfId="0" applyFont="1" applyBorder="1" applyAlignment="1">
      <alignment vertical="center" wrapText="1"/>
    </xf>
    <xf numFmtId="0" fontId="9" fillId="0" borderId="70" xfId="0" applyFont="1" applyBorder="1" applyAlignment="1">
      <alignment vertical="center" wrapText="1"/>
    </xf>
    <xf numFmtId="0" fontId="9" fillId="0" borderId="99" xfId="0" applyFont="1" applyBorder="1" applyAlignment="1">
      <alignment vertical="center" wrapText="1"/>
    </xf>
    <xf numFmtId="0" fontId="9" fillId="0" borderId="2" xfId="0" applyFont="1" applyBorder="1" applyAlignment="1">
      <alignment vertical="center" wrapText="1"/>
    </xf>
    <xf numFmtId="0" fontId="27" fillId="0" borderId="2" xfId="0" applyFont="1" applyBorder="1" applyAlignment="1">
      <alignment vertical="center" wrapText="1"/>
    </xf>
    <xf numFmtId="0" fontId="9" fillId="0" borderId="70" xfId="0" applyFont="1" applyBorder="1" applyAlignment="1">
      <alignment vertical="center"/>
    </xf>
    <xf numFmtId="0" fontId="9" fillId="0" borderId="2" xfId="0" applyFont="1" applyBorder="1" applyAlignment="1">
      <alignment vertical="center"/>
    </xf>
    <xf numFmtId="0" fontId="5" fillId="0" borderId="65" xfId="0" applyFont="1" applyBorder="1" applyAlignment="1">
      <alignment vertical="center" wrapText="1"/>
    </xf>
    <xf numFmtId="0" fontId="0" fillId="0" borderId="1" xfId="0" applyBorder="1" applyAlignment="1">
      <alignment vertical="center" wrapText="1"/>
    </xf>
    <xf numFmtId="0" fontId="9" fillId="0" borderId="65" xfId="0" applyFont="1" applyBorder="1" applyAlignment="1">
      <alignment vertical="center" wrapText="1"/>
    </xf>
    <xf numFmtId="0" fontId="27" fillId="0" borderId="1" xfId="0" applyFont="1" applyBorder="1" applyAlignment="1">
      <alignment vertical="center" wrapText="1"/>
    </xf>
    <xf numFmtId="0" fontId="9" fillId="0" borderId="55" xfId="0" applyFont="1" applyBorder="1" applyAlignment="1">
      <alignment horizontal="center" vertical="center" shrinkToFit="1"/>
    </xf>
    <xf numFmtId="0" fontId="25" fillId="0" borderId="0"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cellXfs>
  <cellStyles count="9">
    <cellStyle name="パーセント" xfId="1" builtinId="5"/>
    <cellStyle name="桁区切り" xfId="7" builtinId="6"/>
    <cellStyle name="桁区切り 2" xfId="8"/>
    <cellStyle name="標準" xfId="0" builtinId="0"/>
    <cellStyle name="標準 2" xfId="2"/>
    <cellStyle name="標準 2 2" xfId="3"/>
    <cellStyle name="標準 3" xfId="4"/>
    <cellStyle name="標準 4" xfId="5"/>
    <cellStyle name="標準 4 2" xfId="6"/>
  </cellStyles>
  <dxfs count="658">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alignment vertical="center" textRotation="0" wrapText="1"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dxf>
    <dxf>
      <font>
        <b val="0"/>
        <i val="0"/>
        <strike val="0"/>
        <condense val="0"/>
        <extend val="0"/>
        <outline val="0"/>
        <shadow val="0"/>
        <u val="none"/>
        <vertAlign val="baseline"/>
        <sz val="11"/>
        <color theme="1"/>
        <name val="メイリオ"/>
        <scheme val="none"/>
      </font>
      <numFmt numFmtId="182" formatCode="#,##0_ "/>
      <fill>
        <patternFill patternType="solid">
          <fgColor theme="4" tint="0.79998168889431442"/>
          <bgColor theme="4" tint="0.79998168889431442"/>
        </patternFill>
      </fill>
      <border diagonalUp="0" diagonalDown="0">
        <left style="thin">
          <color theme="0"/>
        </left>
        <right style="thin">
          <color theme="0"/>
        </right>
        <top style="thin">
          <color theme="0"/>
        </top>
        <bottom/>
        <vertical/>
        <horizontal/>
      </border>
    </dxf>
    <dxf>
      <border outline="0">
        <top style="thin">
          <color theme="4" tint="0.39997558519241921"/>
        </top>
      </border>
    </dxf>
    <dxf>
      <font>
        <b val="0"/>
        <i val="0"/>
        <strike val="0"/>
        <condense val="0"/>
        <extend val="0"/>
        <outline val="0"/>
        <shadow val="0"/>
        <u val="none"/>
        <vertAlign val="baseline"/>
        <sz val="11"/>
        <color theme="1"/>
        <name val="メイリオ"/>
        <scheme val="none"/>
      </font>
      <numFmt numFmtId="182" formatCode="#,##0_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dxf>
    <dxf>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alignment horizontal="center" vertical="center" textRotation="0" indent="0" justifyLastLine="0" shrinkToFit="0" readingOrder="0"/>
    </dxf>
    <dxf>
      <font>
        <b val="0"/>
        <i val="0"/>
        <strike val="0"/>
        <condense val="0"/>
        <extend val="0"/>
        <outline val="0"/>
        <shadow val="0"/>
        <u val="none"/>
        <vertAlign val="baseline"/>
        <sz val="11"/>
        <color theme="1"/>
        <name val="メイリオ"/>
        <scheme val="none"/>
      </font>
      <numFmt numFmtId="181" formatCode="#,##0_);[Red]\(#,##0\)"/>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font>
        <b val="0"/>
        <i val="0"/>
        <strike val="0"/>
        <condense val="0"/>
        <extend val="0"/>
        <outline val="0"/>
        <shadow val="0"/>
        <u val="none"/>
        <vertAlign val="baseline"/>
        <sz val="11"/>
        <color theme="1"/>
        <name val="メイリオ"/>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82" formatCode="#,##0_ "/>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0"/>
        <name val="メイリオ"/>
        <scheme val="none"/>
      </font>
      <alignment horizontal="general" vertical="center" textRotation="0" wrapText="1" indent="0" justifyLastLine="0" shrinkToFit="0" readingOrder="0"/>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メイリオ"/>
        <scheme val="none"/>
      </font>
      <numFmt numFmtId="182" formatCode="#,##0_ "/>
      <fill>
        <patternFill patternType="solid">
          <fgColor theme="4" tint="0.79998168889431442"/>
          <bgColor theme="4" tint="0.79998168889431442"/>
        </patternFill>
      </fill>
      <border diagonalUp="0" diagonalDown="0">
        <left style="thin">
          <color theme="0"/>
        </left>
        <right style="thin">
          <color theme="0"/>
        </right>
        <top style="thin">
          <color theme="0"/>
        </top>
        <bottom/>
        <vertical/>
        <horizontal/>
      </border>
    </dxf>
    <dxf>
      <border outline="0">
        <top style="thin">
          <color theme="4" tint="0.39997558519241921"/>
        </top>
      </border>
    </dxf>
    <dxf>
      <font>
        <b val="0"/>
        <i val="0"/>
        <strike val="0"/>
        <condense val="0"/>
        <extend val="0"/>
        <outline val="0"/>
        <shadow val="0"/>
        <u val="none"/>
        <vertAlign val="baseline"/>
        <sz val="11"/>
        <color theme="1"/>
        <name val="メイリオ"/>
        <scheme val="none"/>
      </font>
      <numFmt numFmtId="182" formatCode="#,##0_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dxf>
    <dxf>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alignment horizontal="center" vertical="center" textRotation="0" indent="0" justifyLastLine="0" shrinkToFit="0" readingOrder="0"/>
    </dxf>
    <dxf>
      <font>
        <b val="0"/>
        <i val="0"/>
        <strike val="0"/>
        <condense val="0"/>
        <extend val="0"/>
        <outline val="0"/>
        <shadow val="0"/>
        <u val="none"/>
        <vertAlign val="baseline"/>
        <sz val="11"/>
        <color theme="1"/>
        <name val="メイリオ"/>
        <scheme val="none"/>
      </font>
      <numFmt numFmtId="176" formatCode="#,##0_ ;[Red]\-#,##0\ "/>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alignment horizontal="center" vertical="center" textRotation="0" indent="0" justifyLastLine="0" shrinkToFit="0" readingOrder="0"/>
    </dxf>
    <dxf>
      <font>
        <b val="0"/>
        <i val="0"/>
        <strike val="0"/>
        <condense val="0"/>
        <extend val="0"/>
        <outline val="0"/>
        <shadow val="0"/>
        <u val="none"/>
        <vertAlign val="baseline"/>
        <sz val="11"/>
        <color theme="1"/>
        <name val="メイリオ"/>
        <scheme val="none"/>
      </font>
      <numFmt numFmtId="181" formatCode="#,##0_);[Red]\(#,##0\)"/>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font>
        <b val="0"/>
        <i val="0"/>
        <strike val="0"/>
        <condense val="0"/>
        <extend val="0"/>
        <outline val="0"/>
        <shadow val="0"/>
        <u val="none"/>
        <vertAlign val="baseline"/>
        <sz val="11"/>
        <color theme="1"/>
        <name val="メイリオ"/>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dxf>
    <dxf>
      <font>
        <b val="0"/>
        <i val="0"/>
        <strike val="0"/>
        <condense val="0"/>
        <extend val="0"/>
        <outline val="0"/>
        <shadow val="0"/>
        <u val="none"/>
        <vertAlign val="baseline"/>
        <sz val="11"/>
        <color auto="1"/>
        <name val="メイリオ"/>
        <scheme val="none"/>
      </font>
      <numFmt numFmtId="182" formatCode="#,##0_ "/>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メイリオ"/>
        <scheme val="none"/>
      </font>
      <border outline="0">
        <right style="thin">
          <color theme="0"/>
        </right>
      </border>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1"/>
        <name val="メイリオ"/>
        <scheme val="none"/>
      </font>
      <numFmt numFmtId="182" formatCode="#,##0_ "/>
      <fill>
        <patternFill patternType="solid">
          <fgColor theme="4" tint="0.79998168889431442"/>
          <bgColor theme="4" tint="0.79998168889431442"/>
        </patternFill>
      </fill>
      <border diagonalUp="0" diagonalDown="0">
        <left style="thin">
          <color theme="0"/>
        </left>
        <right style="thin">
          <color theme="0"/>
        </right>
        <top style="thin">
          <color theme="0"/>
        </top>
        <bottom/>
        <vertical/>
        <horizontal/>
      </border>
    </dxf>
    <dxf>
      <border outline="0">
        <top style="thin">
          <color theme="4" tint="0.39997558519241921"/>
        </top>
      </border>
    </dxf>
    <dxf>
      <font>
        <b val="0"/>
        <i val="0"/>
        <strike val="0"/>
        <condense val="0"/>
        <extend val="0"/>
        <outline val="0"/>
        <shadow val="0"/>
        <u val="none"/>
        <vertAlign val="baseline"/>
        <sz val="12"/>
        <color theme="1"/>
        <name val="メイリオ"/>
        <scheme val="none"/>
      </font>
    </dxf>
    <dxf>
      <font>
        <b val="0"/>
        <i val="0"/>
        <strike val="0"/>
        <condense val="0"/>
        <extend val="0"/>
        <outline val="0"/>
        <shadow val="0"/>
        <u val="none"/>
        <vertAlign val="baseline"/>
        <sz val="11"/>
        <color theme="1"/>
        <name val="メイリオ"/>
        <scheme val="none"/>
      </font>
      <numFmt numFmtId="182" formatCode="#,##0_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dxf>
    <dxf>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alignment horizontal="center" vertical="center" textRotation="0" indent="0" justifyLastLine="0" shrinkToFit="0" readingOrder="0"/>
    </dxf>
    <dxf>
      <font>
        <b val="0"/>
        <i val="0"/>
        <strike val="0"/>
        <condense val="0"/>
        <extend val="0"/>
        <outline val="0"/>
        <shadow val="0"/>
        <u val="none"/>
        <vertAlign val="baseline"/>
        <sz val="11"/>
        <color theme="1"/>
        <name val="メイリオ"/>
        <scheme val="none"/>
      </font>
      <numFmt numFmtId="176" formatCode="#,##0_ ;[Red]\-#,##0\ "/>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alignment horizontal="center" vertical="center" textRotation="0" indent="0" justifyLastLine="0" shrinkToFit="0" readingOrder="0"/>
    </dxf>
    <dxf>
      <font>
        <b val="0"/>
        <i val="0"/>
        <strike val="0"/>
        <condense val="0"/>
        <extend val="0"/>
        <outline val="0"/>
        <shadow val="0"/>
        <u val="none"/>
        <vertAlign val="baseline"/>
        <sz val="11"/>
        <color theme="1"/>
        <name val="メイリオ"/>
        <scheme val="none"/>
      </font>
      <numFmt numFmtId="181" formatCode="#,##0_);[Red]\(#,##0\)"/>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font>
        <b val="0"/>
        <i val="0"/>
        <strike val="0"/>
        <condense val="0"/>
        <extend val="0"/>
        <outline val="0"/>
        <shadow val="0"/>
        <u val="none"/>
        <vertAlign val="baseline"/>
        <sz val="11"/>
        <color theme="1"/>
        <name val="メイリオ"/>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protection locked="0" hidden="0"/>
    </dxf>
    <dxf>
      <protection locked="0" hidden="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protection locked="0" hidden="0"/>
    </dxf>
    <dxf>
      <protection locked="0" hidden="0"/>
    </dxf>
    <dxf>
      <protection locked="0" hidden="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protection locked="0" hidden="0"/>
    </dxf>
    <dxf>
      <protection locked="0" hidden="0"/>
    </dxf>
    <dxf>
      <protection locked="0" hidden="0"/>
    </dxf>
  </dxfs>
  <tableStyles count="0" defaultTableStyle="TableStyleMedium2" defaultPivotStyle="PivotStyleLight16"/>
  <colors>
    <mruColors>
      <color rgb="FFFF7C80"/>
      <color rgb="FFF8FED2"/>
      <color rgb="FFFAFD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ja-JP" sz="1200" b="1">
                <a:latin typeface="メイリオ" panose="020B0604030504040204" pitchFamily="50" charset="-128"/>
                <a:ea typeface="メイリオ" panose="020B0604030504040204" pitchFamily="50" charset="-128"/>
              </a:rPr>
              <a:t>年齢区分</a:t>
            </a:r>
          </a:p>
        </c:rich>
      </c:tx>
      <c:layout>
        <c:manualLayout>
          <c:xMode val="edge"/>
          <c:yMode val="edge"/>
          <c:x val="0.38648181712605029"/>
          <c:y val="1.6987671231044367E-2"/>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pieChart>
        <c:varyColors val="1"/>
        <c:ser>
          <c:idx val="0"/>
          <c:order val="0"/>
          <c:tx>
            <c:strRef>
              <c:f>'グラフ(年齢区分）'!$N$4</c:f>
              <c:strCache>
                <c:ptCount val="1"/>
                <c:pt idx="0">
                  <c:v>全体</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F8BB-452E-BFB8-1A1D90280907}"/>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F8BB-452E-BFB8-1A1D90280907}"/>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F8BB-452E-BFB8-1A1D90280907}"/>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F8BB-452E-BFB8-1A1D90280907}"/>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F8BB-452E-BFB8-1A1D90280907}"/>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F8BB-452E-BFB8-1A1D90280907}"/>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F8BB-452E-BFB8-1A1D90280907}"/>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F8BB-452E-BFB8-1A1D90280907}"/>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F8BB-452E-BFB8-1A1D90280907}"/>
              </c:ext>
            </c:extLst>
          </c:dPt>
          <c:dLbls>
            <c:dLbl>
              <c:idx val="1"/>
              <c:layout>
                <c:manualLayout>
                  <c:x val="0.1654797385620915"/>
                  <c:y val="6.5291666666666666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manualLayout>
                      <c:w val="0.12824509803921569"/>
                      <c:h val="0.17982847222222223"/>
                    </c:manualLayout>
                  </c15:layout>
                </c:ext>
                <c:ext xmlns:c16="http://schemas.microsoft.com/office/drawing/2014/chart" uri="{C3380CC4-5D6E-409C-BE32-E72D297353CC}">
                  <c16:uniqueId val="{00000003-F8BB-452E-BFB8-1A1D90280907}"/>
                </c:ext>
              </c:extLst>
            </c:dLbl>
            <c:dLbl>
              <c:idx val="2"/>
              <c:layout>
                <c:manualLayout>
                  <c:x val="0.1579875816993464"/>
                  <c:y val="0.10841701388888889"/>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F8BB-452E-BFB8-1A1D90280907}"/>
                </c:ext>
              </c:extLst>
            </c:dLbl>
            <c:dLbl>
              <c:idx val="3"/>
              <c:layout>
                <c:manualLayout>
                  <c:x val="0.16864918300653595"/>
                  <c:y val="0.18855104166666667"/>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F8BB-452E-BFB8-1A1D90280907}"/>
                </c:ext>
              </c:extLst>
            </c:dLbl>
            <c:dLbl>
              <c:idx val="8"/>
              <c:layout>
                <c:manualLayout>
                  <c:x val="-0.28123921568627452"/>
                  <c:y val="-3.7262152777777766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F8BB-452E-BFB8-1A1D9028090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'グラフ(年齢区分）'!$M$5:$M$13</c:f>
              <c:strCache>
                <c:ptCount val="9"/>
                <c:pt idx="0">
                  <c:v>19歳以下</c:v>
                </c:pt>
                <c:pt idx="1">
                  <c:v>20歳代</c:v>
                </c:pt>
                <c:pt idx="2">
                  <c:v>30歳代</c:v>
                </c:pt>
                <c:pt idx="3">
                  <c:v>40歳代</c:v>
                </c:pt>
                <c:pt idx="4">
                  <c:v>50歳代</c:v>
                </c:pt>
                <c:pt idx="5">
                  <c:v>60歳代</c:v>
                </c:pt>
                <c:pt idx="6">
                  <c:v>70歳代</c:v>
                </c:pt>
                <c:pt idx="7">
                  <c:v>80歳代</c:v>
                </c:pt>
                <c:pt idx="8">
                  <c:v>90歳以上</c:v>
                </c:pt>
              </c:strCache>
            </c:strRef>
          </c:cat>
          <c:val>
            <c:numRef>
              <c:f>'グラフ(年齢区分）'!$N$5:$N$13</c:f>
              <c:numCache>
                <c:formatCode>#,##0"人"</c:formatCode>
                <c:ptCount val="9"/>
                <c:pt idx="0">
                  <c:v>152</c:v>
                </c:pt>
                <c:pt idx="1">
                  <c:v>277</c:v>
                </c:pt>
                <c:pt idx="2">
                  <c:v>593</c:v>
                </c:pt>
                <c:pt idx="3">
                  <c:v>1404</c:v>
                </c:pt>
                <c:pt idx="4">
                  <c:v>2424</c:v>
                </c:pt>
                <c:pt idx="5">
                  <c:v>2616</c:v>
                </c:pt>
                <c:pt idx="6">
                  <c:v>3931</c:v>
                </c:pt>
                <c:pt idx="7">
                  <c:v>3148</c:v>
                </c:pt>
                <c:pt idx="8">
                  <c:v>708</c:v>
                </c:pt>
              </c:numCache>
            </c:numRef>
          </c:val>
          <c:extLst>
            <c:ext xmlns:c16="http://schemas.microsoft.com/office/drawing/2014/chart" uri="{C3380CC4-5D6E-409C-BE32-E72D297353CC}">
              <c16:uniqueId val="{00000012-F8BB-452E-BFB8-1A1D90280907}"/>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oddHeader>&amp;C○○市町村（○○保健所圏域）の在院患者の状況</c:oddHeader>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65</a:t>
            </a:r>
            <a:r>
              <a:rPr lang="ja-JP" altLang="en-US" sz="1200" b="1">
                <a:latin typeface="メイリオ" panose="020B0604030504040204" pitchFamily="50" charset="-128"/>
                <a:ea typeface="メイリオ" panose="020B0604030504040204" pitchFamily="50" charset="-128"/>
              </a:rPr>
              <a:t>歳以上</a:t>
            </a:r>
            <a:endParaRPr lang="ja-JP" sz="1200" b="1">
              <a:latin typeface="メイリオ" panose="020B0604030504040204" pitchFamily="50" charset="-128"/>
              <a:ea typeface="メイリオ" panose="020B0604030504040204" pitchFamily="50" charset="-128"/>
            </a:endParaRPr>
          </a:p>
        </c:rich>
      </c:tx>
      <c:layout>
        <c:manualLayout>
          <c:xMode val="edge"/>
          <c:yMode val="edge"/>
          <c:x val="0.36990981962620362"/>
          <c:y val="8.4938356155221835E-3"/>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barChart>
        <c:barDir val="bar"/>
        <c:grouping val="clustered"/>
        <c:varyColors val="0"/>
        <c:ser>
          <c:idx val="0"/>
          <c:order val="0"/>
          <c:tx>
            <c:strRef>
              <c:f>'グラフ(疾患名)'!$O$45</c:f>
              <c:strCache>
                <c:ptCount val="1"/>
                <c:pt idx="0">
                  <c:v>人数</c:v>
                </c:pt>
              </c:strCache>
            </c:strRef>
          </c:tx>
          <c:spPr>
            <a:solidFill>
              <a:srgbClr val="F8FED2"/>
            </a:solidFill>
            <a:ln w="9525" cap="flat" cmpd="sng" algn="ctr">
              <a:solidFill>
                <a:srgbClr val="FFFF00"/>
              </a:solidFill>
              <a:round/>
            </a:ln>
            <a:effectLst>
              <a:outerShdw blurRad="40000" dist="20000" dir="5400000" rotWithShape="0">
                <a:srgbClr val="000000">
                  <a:alpha val="38000"/>
                </a:srgbClr>
              </a:outerShdw>
            </a:effectLst>
          </c:spPr>
          <c:invertIfNegative val="0"/>
          <c:dPt>
            <c:idx val="0"/>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196B-4E6B-9279-E7EDE4536D1F}"/>
              </c:ext>
            </c:extLst>
          </c:dPt>
          <c:dPt>
            <c:idx val="1"/>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196B-4E6B-9279-E7EDE4536D1F}"/>
              </c:ext>
            </c:extLst>
          </c:dPt>
          <c:dPt>
            <c:idx val="2"/>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196B-4E6B-9279-E7EDE4536D1F}"/>
              </c:ext>
            </c:extLst>
          </c:dPt>
          <c:dPt>
            <c:idx val="3"/>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196B-4E6B-9279-E7EDE4536D1F}"/>
              </c:ext>
            </c:extLst>
          </c:dPt>
          <c:dPt>
            <c:idx val="4"/>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196B-4E6B-9279-E7EDE4536D1F}"/>
              </c:ext>
            </c:extLst>
          </c:dPt>
          <c:dPt>
            <c:idx val="5"/>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196B-4E6B-9279-E7EDE4536D1F}"/>
              </c:ext>
            </c:extLst>
          </c:dPt>
          <c:dPt>
            <c:idx val="6"/>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196B-4E6B-9279-E7EDE4536D1F}"/>
              </c:ext>
            </c:extLst>
          </c:dPt>
          <c:dPt>
            <c:idx val="7"/>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196B-4E6B-9279-E7EDE4536D1F}"/>
              </c:ext>
            </c:extLst>
          </c:dPt>
          <c:dPt>
            <c:idx val="8"/>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196B-4E6B-9279-E7EDE4536D1F}"/>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'グラフ(疾患名)'!$T$5:$T$16</c:f>
              <c:strCache>
                <c:ptCount val="12"/>
                <c:pt idx="0">
                  <c:v>F0</c:v>
                </c:pt>
                <c:pt idx="1">
                  <c:v>F1</c:v>
                </c:pt>
                <c:pt idx="2">
                  <c:v>F2</c:v>
                </c:pt>
                <c:pt idx="3">
                  <c:v>F3</c:v>
                </c:pt>
                <c:pt idx="4">
                  <c:v>F4</c:v>
                </c:pt>
                <c:pt idx="5">
                  <c:v>F5</c:v>
                </c:pt>
                <c:pt idx="6">
                  <c:v>F6</c:v>
                </c:pt>
                <c:pt idx="7">
                  <c:v>F7</c:v>
                </c:pt>
                <c:pt idx="8">
                  <c:v>F8</c:v>
                </c:pt>
                <c:pt idx="9">
                  <c:v>F9</c:v>
                </c:pt>
                <c:pt idx="10">
                  <c:v>てんかん</c:v>
                </c:pt>
                <c:pt idx="11">
                  <c:v>その他</c:v>
                </c:pt>
              </c:strCache>
            </c:strRef>
          </c:cat>
          <c:val>
            <c:numRef>
              <c:f>'グラフ(疾患名)'!$O$46:$O$57</c:f>
              <c:numCache>
                <c:formatCode>#,###"人"</c:formatCode>
                <c:ptCount val="12"/>
                <c:pt idx="0">
                  <c:v>4013</c:v>
                </c:pt>
                <c:pt idx="1">
                  <c:v>373</c:v>
                </c:pt>
                <c:pt idx="2">
                  <c:v>3573</c:v>
                </c:pt>
                <c:pt idx="3">
                  <c:v>961</c:v>
                </c:pt>
                <c:pt idx="4">
                  <c:v>96</c:v>
                </c:pt>
                <c:pt idx="5">
                  <c:v>5</c:v>
                </c:pt>
                <c:pt idx="6">
                  <c:v>9</c:v>
                </c:pt>
                <c:pt idx="7">
                  <c:v>61</c:v>
                </c:pt>
                <c:pt idx="8">
                  <c:v>6</c:v>
                </c:pt>
                <c:pt idx="9">
                  <c:v>6</c:v>
                </c:pt>
                <c:pt idx="10">
                  <c:v>23</c:v>
                </c:pt>
                <c:pt idx="11">
                  <c:v>69</c:v>
                </c:pt>
              </c:numCache>
            </c:numRef>
          </c:val>
          <c:extLst>
            <c:ext xmlns:c16="http://schemas.microsoft.com/office/drawing/2014/chart" uri="{C3380CC4-5D6E-409C-BE32-E72D297353CC}">
              <c16:uniqueId val="{00000012-196B-4E6B-9279-E7EDE4536D1F}"/>
            </c:ext>
          </c:extLst>
        </c:ser>
        <c:dLbls>
          <c:showLegendKey val="0"/>
          <c:showVal val="0"/>
          <c:showCatName val="0"/>
          <c:showSerName val="0"/>
          <c:showPercent val="0"/>
          <c:showBubbleSize val="0"/>
        </c:dLbls>
        <c:gapWidth val="100"/>
        <c:axId val="635408048"/>
        <c:axId val="635413872"/>
      </c:barChart>
      <c:valAx>
        <c:axId val="635413872"/>
        <c:scaling>
          <c:orientation val="minMax"/>
        </c:scaling>
        <c:delete val="0"/>
        <c:axPos val="t"/>
        <c:majorGridlines>
          <c:spPr>
            <a:ln w="9525" cap="flat" cmpd="sng" algn="ctr">
              <a:solidFill>
                <a:schemeClr val="tx1">
                  <a:lumMod val="15000"/>
                  <a:lumOff val="85000"/>
                </a:schemeClr>
              </a:solidFill>
              <a:round/>
            </a:ln>
            <a:effectLst/>
          </c:spPr>
        </c:majorGridlines>
        <c:numFmt formatCode="#,###&quot;人&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5408048"/>
        <c:crosses val="autoZero"/>
        <c:crossBetween val="between"/>
      </c:valAx>
      <c:catAx>
        <c:axId val="635408048"/>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541387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65</a:t>
            </a:r>
            <a:r>
              <a:rPr lang="ja-JP" altLang="en-US" sz="1200" b="1">
                <a:latin typeface="メイリオ" panose="020B0604030504040204" pitchFamily="50" charset="-128"/>
                <a:ea typeface="メイリオ" panose="020B0604030504040204" pitchFamily="50" charset="-128"/>
              </a:rPr>
              <a:t>歳以上＿寛解・院内寛解群</a:t>
            </a:r>
            <a:endParaRPr lang="ja-JP" sz="1200" b="1">
              <a:latin typeface="メイリオ" panose="020B0604030504040204" pitchFamily="50" charset="-128"/>
              <a:ea typeface="メイリオ" panose="020B0604030504040204" pitchFamily="50" charset="-128"/>
            </a:endParaRPr>
          </a:p>
        </c:rich>
      </c:tx>
      <c:layout>
        <c:manualLayout>
          <c:xMode val="edge"/>
          <c:yMode val="edge"/>
          <c:x val="0.159632072694495"/>
          <c:y val="8.4938356155221835E-3"/>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barChart>
        <c:barDir val="bar"/>
        <c:grouping val="clustered"/>
        <c:varyColors val="0"/>
        <c:ser>
          <c:idx val="2"/>
          <c:order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invertIfNegative val="0"/>
          <c:dPt>
            <c:idx val="0"/>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F055-4CA5-BF89-8FDF1AA0C46E}"/>
              </c:ext>
            </c:extLst>
          </c:dPt>
          <c:dPt>
            <c:idx val="1"/>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F055-4CA5-BF89-8FDF1AA0C46E}"/>
              </c:ext>
            </c:extLst>
          </c:dPt>
          <c:dPt>
            <c:idx val="2"/>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F055-4CA5-BF89-8FDF1AA0C46E}"/>
              </c:ext>
            </c:extLst>
          </c:dPt>
          <c:dPt>
            <c:idx val="3"/>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F055-4CA5-BF89-8FDF1AA0C46E}"/>
              </c:ext>
            </c:extLst>
          </c:dPt>
          <c:dPt>
            <c:idx val="4"/>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F055-4CA5-BF89-8FDF1AA0C46E}"/>
              </c:ext>
            </c:extLst>
          </c:dPt>
          <c:dPt>
            <c:idx val="5"/>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F055-4CA5-BF89-8FDF1AA0C46E}"/>
              </c:ext>
            </c:extLst>
          </c:dPt>
          <c:dPt>
            <c:idx val="6"/>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F055-4CA5-BF89-8FDF1AA0C46E}"/>
              </c:ext>
            </c:extLst>
          </c:dPt>
          <c:dPt>
            <c:idx val="7"/>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F055-4CA5-BF89-8FDF1AA0C46E}"/>
              </c:ext>
            </c:extLst>
          </c:dPt>
          <c:dPt>
            <c:idx val="8"/>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F055-4CA5-BF89-8FDF1AA0C46E}"/>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'グラフ(疾患名)'!$T$5:$T$16</c:f>
              <c:strCache>
                <c:ptCount val="12"/>
                <c:pt idx="0">
                  <c:v>F0</c:v>
                </c:pt>
                <c:pt idx="1">
                  <c:v>F1</c:v>
                </c:pt>
                <c:pt idx="2">
                  <c:v>F2</c:v>
                </c:pt>
                <c:pt idx="3">
                  <c:v>F3</c:v>
                </c:pt>
                <c:pt idx="4">
                  <c:v>F4</c:v>
                </c:pt>
                <c:pt idx="5">
                  <c:v>F5</c:v>
                </c:pt>
                <c:pt idx="6">
                  <c:v>F6</c:v>
                </c:pt>
                <c:pt idx="7">
                  <c:v>F7</c:v>
                </c:pt>
                <c:pt idx="8">
                  <c:v>F8</c:v>
                </c:pt>
                <c:pt idx="9">
                  <c:v>F9</c:v>
                </c:pt>
                <c:pt idx="10">
                  <c:v>てんかん</c:v>
                </c:pt>
                <c:pt idx="11">
                  <c:v>その他</c:v>
                </c:pt>
              </c:strCache>
            </c:strRef>
          </c:cat>
          <c:val>
            <c:numRef>
              <c:f>'グラフ(疾患名)'!$P$46:$P$57</c:f>
              <c:numCache>
                <c:formatCode>#,###"人"</c:formatCode>
                <c:ptCount val="12"/>
                <c:pt idx="0">
                  <c:v>270</c:v>
                </c:pt>
                <c:pt idx="1">
                  <c:v>77</c:v>
                </c:pt>
                <c:pt idx="2">
                  <c:v>280</c:v>
                </c:pt>
                <c:pt idx="3">
                  <c:v>178</c:v>
                </c:pt>
                <c:pt idx="4">
                  <c:v>22</c:v>
                </c:pt>
                <c:pt idx="5">
                  <c:v>0</c:v>
                </c:pt>
                <c:pt idx="6">
                  <c:v>2</c:v>
                </c:pt>
                <c:pt idx="7">
                  <c:v>2</c:v>
                </c:pt>
                <c:pt idx="8">
                  <c:v>2</c:v>
                </c:pt>
                <c:pt idx="9">
                  <c:v>0</c:v>
                </c:pt>
                <c:pt idx="10">
                  <c:v>4</c:v>
                </c:pt>
                <c:pt idx="11">
                  <c:v>7</c:v>
                </c:pt>
              </c:numCache>
            </c:numRef>
          </c:val>
          <c:extLst>
            <c:ext xmlns:c16="http://schemas.microsoft.com/office/drawing/2014/chart" uri="{C3380CC4-5D6E-409C-BE32-E72D297353CC}">
              <c16:uniqueId val="{00000012-F055-4CA5-BF89-8FDF1AA0C46E}"/>
            </c:ext>
          </c:extLst>
        </c:ser>
        <c:dLbls>
          <c:showLegendKey val="0"/>
          <c:showVal val="0"/>
          <c:showCatName val="0"/>
          <c:showSerName val="0"/>
          <c:showPercent val="0"/>
          <c:showBubbleSize val="0"/>
        </c:dLbls>
        <c:gapWidth val="100"/>
        <c:axId val="292094896"/>
        <c:axId val="292097808"/>
      </c:barChart>
      <c:valAx>
        <c:axId val="292097808"/>
        <c:scaling>
          <c:orientation val="minMax"/>
        </c:scaling>
        <c:delete val="0"/>
        <c:axPos val="t"/>
        <c:majorGridlines>
          <c:spPr>
            <a:ln w="9525" cap="flat" cmpd="sng" algn="ctr">
              <a:solidFill>
                <a:schemeClr val="tx1">
                  <a:lumMod val="15000"/>
                  <a:lumOff val="85000"/>
                </a:schemeClr>
              </a:solidFill>
              <a:round/>
            </a:ln>
            <a:effectLst/>
          </c:spPr>
        </c:majorGridlines>
        <c:numFmt formatCode="#,###&quot;人&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292094896"/>
        <c:crosses val="autoZero"/>
        <c:crossBetween val="between"/>
      </c:valAx>
      <c:catAx>
        <c:axId val="292094896"/>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29209780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1</a:t>
            </a:r>
            <a:r>
              <a:rPr lang="ja-JP" altLang="en-US" sz="1200" b="1">
                <a:latin typeface="メイリオ" panose="020B0604030504040204" pitchFamily="50" charset="-128"/>
                <a:ea typeface="メイリオ" panose="020B0604030504040204" pitchFamily="50" charset="-128"/>
              </a:rPr>
              <a:t>年以上＿寛解・院内寛解群</a:t>
            </a:r>
            <a:endParaRPr lang="ja-JP" sz="1200" b="1">
              <a:latin typeface="メイリオ" panose="020B0604030504040204" pitchFamily="50" charset="-128"/>
              <a:ea typeface="メイリオ" panose="020B0604030504040204" pitchFamily="50" charset="-128"/>
            </a:endParaRPr>
          </a:p>
        </c:rich>
      </c:tx>
      <c:layout>
        <c:manualLayout>
          <c:xMode val="edge"/>
          <c:yMode val="edge"/>
          <c:x val="0.22917408818129503"/>
          <c:y val="1.2740753423283275E-2"/>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barChart>
        <c:barDir val="bar"/>
        <c:grouping val="clustered"/>
        <c:varyColors val="0"/>
        <c:ser>
          <c:idx val="0"/>
          <c:order val="0"/>
          <c:tx>
            <c:strRef>
              <c:f>'グラフ(疾患名)'!$R$23</c:f>
              <c:strCache>
                <c:ptCount val="1"/>
                <c:pt idx="0">
                  <c:v>計</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Pt>
            <c:idx val="0"/>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35F0-45D8-9675-A466BE431B89}"/>
              </c:ext>
            </c:extLst>
          </c:dPt>
          <c:dPt>
            <c:idx val="1"/>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35F0-45D8-9675-A466BE431B89}"/>
              </c:ext>
            </c:extLst>
          </c:dPt>
          <c:dPt>
            <c:idx val="2"/>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35F0-45D8-9675-A466BE431B89}"/>
              </c:ext>
            </c:extLst>
          </c:dPt>
          <c:dPt>
            <c:idx val="3"/>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35F0-45D8-9675-A466BE431B89}"/>
              </c:ext>
            </c:extLst>
          </c:dPt>
          <c:dPt>
            <c:idx val="4"/>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35F0-45D8-9675-A466BE431B89}"/>
              </c:ext>
            </c:extLst>
          </c:dPt>
          <c:dPt>
            <c:idx val="5"/>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35F0-45D8-9675-A466BE431B89}"/>
              </c:ext>
            </c:extLst>
          </c:dPt>
          <c:dPt>
            <c:idx val="6"/>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35F0-45D8-9675-A466BE431B89}"/>
              </c:ext>
            </c:extLst>
          </c:dPt>
          <c:dPt>
            <c:idx val="7"/>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35F0-45D8-9675-A466BE431B89}"/>
              </c:ext>
            </c:extLst>
          </c:dPt>
          <c:dPt>
            <c:idx val="8"/>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35F0-45D8-9675-A466BE431B89}"/>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'グラフ(疾患名)'!$T$5:$T$16</c:f>
              <c:strCache>
                <c:ptCount val="12"/>
                <c:pt idx="0">
                  <c:v>F0</c:v>
                </c:pt>
                <c:pt idx="1">
                  <c:v>F1</c:v>
                </c:pt>
                <c:pt idx="2">
                  <c:v>F2</c:v>
                </c:pt>
                <c:pt idx="3">
                  <c:v>F3</c:v>
                </c:pt>
                <c:pt idx="4">
                  <c:v>F4</c:v>
                </c:pt>
                <c:pt idx="5">
                  <c:v>F5</c:v>
                </c:pt>
                <c:pt idx="6">
                  <c:v>F6</c:v>
                </c:pt>
                <c:pt idx="7">
                  <c:v>F7</c:v>
                </c:pt>
                <c:pt idx="8">
                  <c:v>F8</c:v>
                </c:pt>
                <c:pt idx="9">
                  <c:v>F9</c:v>
                </c:pt>
                <c:pt idx="10">
                  <c:v>てんかん</c:v>
                </c:pt>
                <c:pt idx="11">
                  <c:v>その他</c:v>
                </c:pt>
              </c:strCache>
            </c:strRef>
          </c:cat>
          <c:val>
            <c:numRef>
              <c:f>'グラフ(疾患名)'!$R$24:$R$35</c:f>
              <c:numCache>
                <c:formatCode>#,##0"人"</c:formatCode>
                <c:ptCount val="12"/>
                <c:pt idx="0">
                  <c:v>93</c:v>
                </c:pt>
                <c:pt idx="1">
                  <c:v>29</c:v>
                </c:pt>
                <c:pt idx="2">
                  <c:v>318</c:v>
                </c:pt>
                <c:pt idx="3">
                  <c:v>82</c:v>
                </c:pt>
                <c:pt idx="4">
                  <c:v>13</c:v>
                </c:pt>
                <c:pt idx="5">
                  <c:v>0</c:v>
                </c:pt>
                <c:pt idx="6">
                  <c:v>2</c:v>
                </c:pt>
                <c:pt idx="7">
                  <c:v>6</c:v>
                </c:pt>
                <c:pt idx="8">
                  <c:v>3</c:v>
                </c:pt>
                <c:pt idx="9">
                  <c:v>1</c:v>
                </c:pt>
                <c:pt idx="10">
                  <c:v>4</c:v>
                </c:pt>
                <c:pt idx="11">
                  <c:v>2</c:v>
                </c:pt>
              </c:numCache>
            </c:numRef>
          </c:val>
          <c:extLst>
            <c:ext xmlns:c16="http://schemas.microsoft.com/office/drawing/2014/chart" uri="{C3380CC4-5D6E-409C-BE32-E72D297353CC}">
              <c16:uniqueId val="{00000012-35F0-45D8-9675-A466BE431B89}"/>
            </c:ext>
          </c:extLst>
        </c:ser>
        <c:dLbls>
          <c:showLegendKey val="0"/>
          <c:showVal val="0"/>
          <c:showCatName val="0"/>
          <c:showSerName val="0"/>
          <c:showPercent val="0"/>
          <c:showBubbleSize val="0"/>
        </c:dLbls>
        <c:gapWidth val="100"/>
        <c:axId val="630611664"/>
        <c:axId val="630606256"/>
      </c:barChart>
      <c:valAx>
        <c:axId val="630606256"/>
        <c:scaling>
          <c:orientation val="minMax"/>
        </c:scaling>
        <c:delete val="0"/>
        <c:axPos val="t"/>
        <c:majorGridlines>
          <c:spPr>
            <a:ln w="9525" cap="flat" cmpd="sng" algn="ctr">
              <a:solidFill>
                <a:schemeClr val="tx1">
                  <a:lumMod val="15000"/>
                  <a:lumOff val="85000"/>
                </a:schemeClr>
              </a:solidFill>
              <a:round/>
            </a:ln>
            <a:effectLst/>
          </c:spPr>
        </c:majorGridlines>
        <c:numFmt formatCode="#,##0&quot;人&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0611664"/>
        <c:crosses val="autoZero"/>
        <c:crossBetween val="between"/>
      </c:valAx>
      <c:catAx>
        <c:axId val="63061166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060625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r>
              <a:rPr lang="ja-JP" altLang="en-US" sz="1200" b="1"/>
              <a:t>在院期間＿患者全体</a:t>
            </a:r>
            <a:endParaRPr lang="ja-JP" sz="1200" b="1"/>
          </a:p>
        </c:rich>
      </c:tx>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barChart>
        <c:barDir val="bar"/>
        <c:grouping val="stacked"/>
        <c:varyColors val="0"/>
        <c:ser>
          <c:idx val="0"/>
          <c:order val="0"/>
          <c:tx>
            <c:strRef>
              <c:f>'グラフ(在院期間) '!$M$3</c:f>
              <c:strCache>
                <c:ptCount val="1"/>
                <c:pt idx="0">
                  <c:v>65歳未満</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dLbl>
              <c:idx val="0"/>
              <c:tx>
                <c:rich>
                  <a:bodyPr/>
                  <a:lstStyle/>
                  <a:p>
                    <a:fld id="{79CDD27A-5029-4EBD-928D-FEC2E7DDFC44}"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92B7-4A50-8C5E-7771008A3F96}"/>
                </c:ext>
              </c:extLst>
            </c:dLbl>
            <c:dLbl>
              <c:idx val="1"/>
              <c:tx>
                <c:rich>
                  <a:bodyPr/>
                  <a:lstStyle/>
                  <a:p>
                    <a:fld id="{0903FA28-B867-4C7C-AB8C-B0E998B582CB}"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2B7-4A50-8C5E-7771008A3F96}"/>
                </c:ext>
              </c:extLst>
            </c:dLbl>
            <c:dLbl>
              <c:idx val="2"/>
              <c:tx>
                <c:rich>
                  <a:bodyPr/>
                  <a:lstStyle/>
                  <a:p>
                    <a:fld id="{13AA1F86-2D7C-49C0-AD0B-1DB09F21FD29}"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92B7-4A50-8C5E-7771008A3F96}"/>
                </c:ext>
              </c:extLst>
            </c:dLbl>
            <c:dLbl>
              <c:idx val="3"/>
              <c:tx>
                <c:rich>
                  <a:bodyPr/>
                  <a:lstStyle/>
                  <a:p>
                    <a:fld id="{31012742-C07A-4FF2-9400-55C1FF219E65}"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2B7-4A50-8C5E-7771008A3F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'グラフ(在院期間) '!$L$4:$L$7</c:f>
              <c:strCache>
                <c:ptCount val="4"/>
                <c:pt idx="0">
                  <c:v>1年未満</c:v>
                </c:pt>
                <c:pt idx="1">
                  <c:v>1年以上5年未満</c:v>
                </c:pt>
                <c:pt idx="2">
                  <c:v>5年以上10年未満</c:v>
                </c:pt>
                <c:pt idx="3">
                  <c:v>10年以上</c:v>
                </c:pt>
              </c:strCache>
            </c:strRef>
          </c:cat>
          <c:val>
            <c:numRef>
              <c:f>'グラフ(在院期間) '!$M$4:$M$7</c:f>
              <c:numCache>
                <c:formatCode>#,##0"人"</c:formatCode>
                <c:ptCount val="4"/>
                <c:pt idx="0">
                  <c:v>2660</c:v>
                </c:pt>
                <c:pt idx="1">
                  <c:v>1642</c:v>
                </c:pt>
                <c:pt idx="2">
                  <c:v>822</c:v>
                </c:pt>
                <c:pt idx="3">
                  <c:v>934</c:v>
                </c:pt>
              </c:numCache>
            </c:numRef>
          </c:val>
          <c:extLst>
            <c:ext xmlns:c15="http://schemas.microsoft.com/office/drawing/2012/chart" uri="{02D57815-91ED-43cb-92C2-25804820EDAC}">
              <c15:datalabelsRange>
                <c15:f>'グラフ(在院期間) '!$P$4:$P$7</c15:f>
                <c15:dlblRangeCache>
                  <c:ptCount val="4"/>
                  <c:pt idx="0">
                    <c:v>43.0%</c:v>
                  </c:pt>
                  <c:pt idx="1">
                    <c:v>33.6%</c:v>
                  </c:pt>
                  <c:pt idx="2">
                    <c:v>43.0%</c:v>
                  </c:pt>
                  <c:pt idx="3">
                    <c:v>41.2%</c:v>
                  </c:pt>
                </c15:dlblRangeCache>
              </c15:datalabelsRange>
            </c:ext>
            <c:ext xmlns:c16="http://schemas.microsoft.com/office/drawing/2014/chart" uri="{C3380CC4-5D6E-409C-BE32-E72D297353CC}">
              <c16:uniqueId val="{00000000-92B7-4A50-8C5E-7771008A3F96}"/>
            </c:ext>
          </c:extLst>
        </c:ser>
        <c:ser>
          <c:idx val="1"/>
          <c:order val="1"/>
          <c:tx>
            <c:strRef>
              <c:f>'グラフ(在院期間) '!$N$3</c:f>
              <c:strCache>
                <c:ptCount val="1"/>
                <c:pt idx="0">
                  <c:v>65歳以上</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dLbl>
              <c:idx val="0"/>
              <c:tx>
                <c:rich>
                  <a:bodyPr/>
                  <a:lstStyle/>
                  <a:p>
                    <a:fld id="{45393729-C82C-4752-9677-CE7151EA104B}"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2B7-4A50-8C5E-7771008A3F96}"/>
                </c:ext>
              </c:extLst>
            </c:dLbl>
            <c:dLbl>
              <c:idx val="1"/>
              <c:tx>
                <c:rich>
                  <a:bodyPr/>
                  <a:lstStyle/>
                  <a:p>
                    <a:fld id="{A6BF5F27-686B-4E2E-A13F-112257132DAA}"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92B7-4A50-8C5E-7771008A3F96}"/>
                </c:ext>
              </c:extLst>
            </c:dLbl>
            <c:dLbl>
              <c:idx val="2"/>
              <c:tx>
                <c:rich>
                  <a:bodyPr/>
                  <a:lstStyle/>
                  <a:p>
                    <a:fld id="{5AD42ADE-D8BC-4B20-AF90-99512D59FF5C}"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92B7-4A50-8C5E-7771008A3F96}"/>
                </c:ext>
              </c:extLst>
            </c:dLbl>
            <c:dLbl>
              <c:idx val="3"/>
              <c:tx>
                <c:rich>
                  <a:bodyPr/>
                  <a:lstStyle/>
                  <a:p>
                    <a:fld id="{E76D1359-B078-4635-AC75-24705AE7CF50}"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92B7-4A50-8C5E-7771008A3F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'グラフ(在院期間) '!$L$4:$L$7</c:f>
              <c:strCache>
                <c:ptCount val="4"/>
                <c:pt idx="0">
                  <c:v>1年未満</c:v>
                </c:pt>
                <c:pt idx="1">
                  <c:v>1年以上5年未満</c:v>
                </c:pt>
                <c:pt idx="2">
                  <c:v>5年以上10年未満</c:v>
                </c:pt>
                <c:pt idx="3">
                  <c:v>10年以上</c:v>
                </c:pt>
              </c:strCache>
            </c:strRef>
          </c:cat>
          <c:val>
            <c:numRef>
              <c:f>'グラフ(在院期間) '!$N$4:$N$7</c:f>
              <c:numCache>
                <c:formatCode>#,##0"人"</c:formatCode>
                <c:ptCount val="4"/>
                <c:pt idx="0">
                  <c:v>3531</c:v>
                </c:pt>
                <c:pt idx="1">
                  <c:v>3239</c:v>
                </c:pt>
                <c:pt idx="2">
                  <c:v>1090</c:v>
                </c:pt>
                <c:pt idx="3">
                  <c:v>1335</c:v>
                </c:pt>
              </c:numCache>
            </c:numRef>
          </c:val>
          <c:extLst>
            <c:ext xmlns:c15="http://schemas.microsoft.com/office/drawing/2012/chart" uri="{02D57815-91ED-43cb-92C2-25804820EDAC}">
              <c15:datalabelsRange>
                <c15:f>'グラフ(在院期間) '!$Q$4:$Q$7</c15:f>
                <c15:dlblRangeCache>
                  <c:ptCount val="4"/>
                  <c:pt idx="0">
                    <c:v>57.0%</c:v>
                  </c:pt>
                  <c:pt idx="1">
                    <c:v>66.4%</c:v>
                  </c:pt>
                  <c:pt idx="2">
                    <c:v>57.0%</c:v>
                  </c:pt>
                  <c:pt idx="3">
                    <c:v>58.8%</c:v>
                  </c:pt>
                </c15:dlblRangeCache>
              </c15:datalabelsRange>
            </c:ext>
            <c:ext xmlns:c16="http://schemas.microsoft.com/office/drawing/2014/chart" uri="{C3380CC4-5D6E-409C-BE32-E72D297353CC}">
              <c16:uniqueId val="{00000001-92B7-4A50-8C5E-7771008A3F96}"/>
            </c:ext>
          </c:extLst>
        </c:ser>
        <c:dLbls>
          <c:showLegendKey val="0"/>
          <c:showVal val="0"/>
          <c:showCatName val="0"/>
          <c:showSerName val="0"/>
          <c:showPercent val="0"/>
          <c:showBubbleSize val="0"/>
        </c:dLbls>
        <c:gapWidth val="150"/>
        <c:overlap val="100"/>
        <c:axId val="116807760"/>
        <c:axId val="116801936"/>
      </c:barChart>
      <c:catAx>
        <c:axId val="116807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16801936"/>
        <c:crosses val="autoZero"/>
        <c:auto val="1"/>
        <c:lblAlgn val="ctr"/>
        <c:lblOffset val="100"/>
        <c:noMultiLvlLbl val="0"/>
      </c:catAx>
      <c:valAx>
        <c:axId val="116801936"/>
        <c:scaling>
          <c:orientation val="minMax"/>
        </c:scaling>
        <c:delete val="0"/>
        <c:axPos val="b"/>
        <c:majorGridlines>
          <c:spPr>
            <a:ln w="9525" cap="flat" cmpd="sng" algn="ctr">
              <a:solidFill>
                <a:schemeClr val="tx1">
                  <a:lumMod val="15000"/>
                  <a:lumOff val="85000"/>
                </a:schemeClr>
              </a:solidFill>
              <a:round/>
            </a:ln>
            <a:effectLst/>
          </c:spPr>
        </c:majorGridlines>
        <c:numFmt formatCode="#,##0&quot;人&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16807760"/>
        <c:crosses val="autoZero"/>
        <c:crossBetween val="between"/>
      </c:valAx>
      <c:dTable>
        <c:showHorzBorder val="1"/>
        <c:showVertBorder val="1"/>
        <c:showOutline val="1"/>
        <c:showKeys val="0"/>
        <c:spPr>
          <a:noFill/>
          <a:ln w="9525">
            <a:solidFill>
              <a:schemeClr val="tx1">
                <a:lumMod val="15000"/>
                <a:lumOff val="85000"/>
              </a:schemeClr>
            </a:solidFill>
          </a:ln>
          <a:effectLst/>
        </c:spPr>
        <c:txPr>
          <a:bodyPr rot="0" spcFirstLastPara="1" vertOverflow="ellipsis" vert="horz" wrap="square" anchor="ctr" anchorCtr="1"/>
          <a:lstStyle/>
          <a:p>
            <a:pPr rtl="0">
              <a:defRPr sz="800" b="0" i="0" u="none" strike="noStrike" kern="1200" baseline="0">
                <a:solidFill>
                  <a:schemeClr val="tx1">
                    <a:lumMod val="50000"/>
                    <a:lumOff val="50000"/>
                  </a:schemeClr>
                </a:solidFill>
                <a:latin typeface="+mn-lt"/>
                <a:ea typeface="+mn-ea"/>
                <a:cs typeface="+mn-cs"/>
              </a:defRPr>
            </a:pPr>
            <a:endParaRPr lang="ja-JP"/>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r>
              <a:rPr lang="ja-JP" altLang="en-US" sz="1200" b="1"/>
              <a:t>在院期間＿寛解・院内寛解群</a:t>
            </a:r>
            <a:endParaRPr lang="ja-JP" sz="1200" b="1"/>
          </a:p>
        </c:rich>
      </c:tx>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barChart>
        <c:barDir val="bar"/>
        <c:grouping val="stacked"/>
        <c:varyColors val="0"/>
        <c:ser>
          <c:idx val="0"/>
          <c:order val="0"/>
          <c:tx>
            <c:strRef>
              <c:f>'グラフ(在院期間) '!$M$8</c:f>
              <c:strCache>
                <c:ptCount val="1"/>
                <c:pt idx="0">
                  <c:v>65歳未満</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dLbl>
              <c:idx val="0"/>
              <c:tx>
                <c:rich>
                  <a:bodyPr/>
                  <a:lstStyle/>
                  <a:p>
                    <a:fld id="{1ED5C5BC-957E-4D34-8DEF-B440F853D47C}"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D21-42B9-A33C-BF0B0FC6CD8F}"/>
                </c:ext>
              </c:extLst>
            </c:dLbl>
            <c:dLbl>
              <c:idx val="1"/>
              <c:tx>
                <c:rich>
                  <a:bodyPr/>
                  <a:lstStyle/>
                  <a:p>
                    <a:fld id="{29EA65BA-0BF2-4D18-9F3E-0A0C64B2AC97}"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D21-42B9-A33C-BF0B0FC6CD8F}"/>
                </c:ext>
              </c:extLst>
            </c:dLbl>
            <c:dLbl>
              <c:idx val="2"/>
              <c:layout>
                <c:manualLayout>
                  <c:x val="-6.632380182828003E-3"/>
                  <c:y val="-3.6002834868887314E-2"/>
                </c:manualLayout>
              </c:layout>
              <c:tx>
                <c:rich>
                  <a:bodyPr/>
                  <a:lstStyle/>
                  <a:p>
                    <a:fld id="{48C66303-A7B3-4074-A935-F5508D932AD2}"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D21-42B9-A33C-BF0B0FC6CD8F}"/>
                </c:ext>
              </c:extLst>
            </c:dLbl>
            <c:dLbl>
              <c:idx val="3"/>
              <c:layout>
                <c:manualLayout>
                  <c:x val="3.3050219888893333E-2"/>
                  <c:y val="-7.6506024096385544E-2"/>
                </c:manualLayout>
              </c:layout>
              <c:tx>
                <c:rich>
                  <a:bodyPr/>
                  <a:lstStyle/>
                  <a:p>
                    <a:fld id="{A27106A2-970E-45D4-853E-24995DC337A7}"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D21-42B9-A33C-BF0B0FC6CD8F}"/>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'グラフ(在院期間) '!$L$9:$L$12</c:f>
              <c:strCache>
                <c:ptCount val="4"/>
                <c:pt idx="0">
                  <c:v>1年未満</c:v>
                </c:pt>
                <c:pt idx="1">
                  <c:v>1年以上5年未満</c:v>
                </c:pt>
                <c:pt idx="2">
                  <c:v>5年以上10年未満</c:v>
                </c:pt>
                <c:pt idx="3">
                  <c:v>10年以上</c:v>
                </c:pt>
              </c:strCache>
            </c:strRef>
          </c:cat>
          <c:val>
            <c:numRef>
              <c:f>'グラフ(在院期間) '!$M$9:$M$12</c:f>
              <c:numCache>
                <c:formatCode>#,##0"人"</c:formatCode>
                <c:ptCount val="4"/>
                <c:pt idx="0">
                  <c:v>708</c:v>
                </c:pt>
                <c:pt idx="1">
                  <c:v>135</c:v>
                </c:pt>
                <c:pt idx="2">
                  <c:v>43</c:v>
                </c:pt>
                <c:pt idx="3">
                  <c:v>36</c:v>
                </c:pt>
              </c:numCache>
            </c:numRef>
          </c:val>
          <c:extLst>
            <c:ext xmlns:c15="http://schemas.microsoft.com/office/drawing/2012/chart" uri="{02D57815-91ED-43cb-92C2-25804820EDAC}">
              <c15:datalabelsRange>
                <c15:f>'グラフ(在院期間) '!$P$9:$P$12</c15:f>
                <c15:dlblRangeCache>
                  <c:ptCount val="4"/>
                  <c:pt idx="0">
                    <c:v>58.4%</c:v>
                  </c:pt>
                  <c:pt idx="1">
                    <c:v>39.8%</c:v>
                  </c:pt>
                  <c:pt idx="2">
                    <c:v>38.4%</c:v>
                  </c:pt>
                  <c:pt idx="3">
                    <c:v>35.3%</c:v>
                  </c:pt>
                </c15:dlblRangeCache>
              </c15:datalabelsRange>
            </c:ext>
            <c:ext xmlns:c16="http://schemas.microsoft.com/office/drawing/2014/chart" uri="{C3380CC4-5D6E-409C-BE32-E72D297353CC}">
              <c16:uniqueId val="{00000000-ED21-42B9-A33C-BF0B0FC6CD8F}"/>
            </c:ext>
          </c:extLst>
        </c:ser>
        <c:ser>
          <c:idx val="1"/>
          <c:order val="1"/>
          <c:tx>
            <c:strRef>
              <c:f>'グラフ(在院期間) '!$N$8</c:f>
              <c:strCache>
                <c:ptCount val="1"/>
                <c:pt idx="0">
                  <c:v>65歳以上</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dLbl>
              <c:idx val="0"/>
              <c:tx>
                <c:rich>
                  <a:bodyPr/>
                  <a:lstStyle/>
                  <a:p>
                    <a:fld id="{EA3076DA-F4B8-4E50-9E8B-C05016D18518}"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D21-42B9-A33C-BF0B0FC6CD8F}"/>
                </c:ext>
              </c:extLst>
            </c:dLbl>
            <c:dLbl>
              <c:idx val="1"/>
              <c:tx>
                <c:rich>
                  <a:bodyPr rot="0" spcFirstLastPara="1" vertOverflow="overflow" horzOverflow="overflow"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fld id="{702007B1-B8B4-4513-A21B-B664BD9F1EF2}" type="CELLRANGE">
                      <a:rPr lang="en-US" altLang="ja-JP"/>
                      <a:pPr>
                        <a:defRPr sz="800"/>
                      </a:pPr>
                      <a:t>[CELLRANGE]</a:t>
                    </a:fld>
                    <a:endParaRPr lang="ja-JP" altLang="en-US"/>
                  </a:p>
                </c:rich>
              </c:tx>
              <c:spPr>
                <a:noFill/>
                <a:ln>
                  <a:noFill/>
                </a:ln>
                <a:effectLst/>
              </c:spPr>
              <c:txPr>
                <a:bodyPr rot="0" spcFirstLastPara="1" vertOverflow="overflow" horzOverflow="overflow"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ED21-42B9-A33C-BF0B0FC6CD8F}"/>
                </c:ext>
              </c:extLst>
            </c:dLbl>
            <c:dLbl>
              <c:idx val="2"/>
              <c:layout>
                <c:manualLayout>
                  <c:x val="0.13567010946949548"/>
                  <c:y val="0"/>
                </c:manualLayout>
              </c:layout>
              <c:tx>
                <c:rich>
                  <a:bodyPr/>
                  <a:lstStyle/>
                  <a:p>
                    <a:fld id="{8C8BA027-5922-4229-AFBB-6D2ECA2071D6}"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D21-42B9-A33C-BF0B0FC6CD8F}"/>
                </c:ext>
              </c:extLst>
            </c:dLbl>
            <c:dLbl>
              <c:idx val="3"/>
              <c:layout>
                <c:manualLayout>
                  <c:x val="0.10596246584831066"/>
                  <c:y val="-2.7002126151665487E-2"/>
                </c:manualLayout>
              </c:layout>
              <c:tx>
                <c:rich>
                  <a:bodyPr/>
                  <a:lstStyle/>
                  <a:p>
                    <a:fld id="{66D55363-1C0D-4D53-A96E-A0A6DAE98D59}"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D21-42B9-A33C-BF0B0FC6CD8F}"/>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'グラフ(在院期間) '!$L$9:$L$12</c:f>
              <c:strCache>
                <c:ptCount val="4"/>
                <c:pt idx="0">
                  <c:v>1年未満</c:v>
                </c:pt>
                <c:pt idx="1">
                  <c:v>1年以上5年未満</c:v>
                </c:pt>
                <c:pt idx="2">
                  <c:v>5年以上10年未満</c:v>
                </c:pt>
                <c:pt idx="3">
                  <c:v>10年以上</c:v>
                </c:pt>
              </c:strCache>
            </c:strRef>
          </c:cat>
          <c:val>
            <c:numRef>
              <c:f>'グラフ(在院期間) '!$N$9:$N$12</c:f>
              <c:numCache>
                <c:formatCode>#,##0"人"</c:formatCode>
                <c:ptCount val="4"/>
                <c:pt idx="0">
                  <c:v>505</c:v>
                </c:pt>
                <c:pt idx="1">
                  <c:v>204</c:v>
                </c:pt>
                <c:pt idx="2">
                  <c:v>69</c:v>
                </c:pt>
                <c:pt idx="3">
                  <c:v>66</c:v>
                </c:pt>
              </c:numCache>
            </c:numRef>
          </c:val>
          <c:extLst>
            <c:ext xmlns:c15="http://schemas.microsoft.com/office/drawing/2012/chart" uri="{02D57815-91ED-43cb-92C2-25804820EDAC}">
              <c15:datalabelsRange>
                <c15:f>'グラフ(在院期間) '!$Q$9:$Q$12</c15:f>
                <c15:dlblRangeCache>
                  <c:ptCount val="4"/>
                  <c:pt idx="0">
                    <c:v>41.6%</c:v>
                  </c:pt>
                  <c:pt idx="1">
                    <c:v>60.2%</c:v>
                  </c:pt>
                  <c:pt idx="2">
                    <c:v>61.6%</c:v>
                  </c:pt>
                  <c:pt idx="3">
                    <c:v>64.7%</c:v>
                  </c:pt>
                </c15:dlblRangeCache>
              </c15:datalabelsRange>
            </c:ext>
            <c:ext xmlns:c16="http://schemas.microsoft.com/office/drawing/2014/chart" uri="{C3380CC4-5D6E-409C-BE32-E72D297353CC}">
              <c16:uniqueId val="{00000001-ED21-42B9-A33C-BF0B0FC6CD8F}"/>
            </c:ext>
          </c:extLst>
        </c:ser>
        <c:dLbls>
          <c:showLegendKey val="0"/>
          <c:showVal val="0"/>
          <c:showCatName val="0"/>
          <c:showSerName val="0"/>
          <c:showPercent val="0"/>
          <c:showBubbleSize val="0"/>
        </c:dLbls>
        <c:gapWidth val="150"/>
        <c:overlap val="100"/>
        <c:axId val="116807760"/>
        <c:axId val="116801936"/>
      </c:barChart>
      <c:catAx>
        <c:axId val="116807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16801936"/>
        <c:crosses val="autoZero"/>
        <c:auto val="1"/>
        <c:lblAlgn val="ctr"/>
        <c:lblOffset val="100"/>
        <c:noMultiLvlLbl val="0"/>
      </c:catAx>
      <c:valAx>
        <c:axId val="116801936"/>
        <c:scaling>
          <c:orientation val="minMax"/>
        </c:scaling>
        <c:delete val="0"/>
        <c:axPos val="b"/>
        <c:majorGridlines>
          <c:spPr>
            <a:ln w="9525" cap="flat" cmpd="sng" algn="ctr">
              <a:solidFill>
                <a:schemeClr val="tx1">
                  <a:lumMod val="15000"/>
                  <a:lumOff val="85000"/>
                </a:schemeClr>
              </a:solidFill>
              <a:round/>
            </a:ln>
            <a:effectLst/>
          </c:spPr>
        </c:majorGridlines>
        <c:numFmt formatCode="#,##0&quot;人&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16807760"/>
        <c:crosses val="autoZero"/>
        <c:crossBetween val="between"/>
      </c:valAx>
      <c:dTable>
        <c:showHorzBorder val="1"/>
        <c:showVertBorder val="1"/>
        <c:showOutline val="1"/>
        <c:showKeys val="0"/>
        <c:spPr>
          <a:noFill/>
          <a:ln w="9525">
            <a:solidFill>
              <a:schemeClr val="tx1">
                <a:lumMod val="15000"/>
                <a:lumOff val="85000"/>
              </a:schemeClr>
            </a:solidFill>
          </a:ln>
          <a:effectLst/>
        </c:spPr>
        <c:txPr>
          <a:bodyPr rot="0" spcFirstLastPara="1" vertOverflow="ellipsis" vert="horz" wrap="square" anchor="ctr" anchorCtr="1"/>
          <a:lstStyle/>
          <a:p>
            <a:pPr rtl="0">
              <a:defRPr sz="800" b="0" i="0" u="none" strike="noStrike" kern="1200" baseline="0">
                <a:solidFill>
                  <a:schemeClr val="tx1">
                    <a:lumMod val="50000"/>
                    <a:lumOff val="50000"/>
                  </a:schemeClr>
                </a:solidFill>
                <a:latin typeface="+mn-lt"/>
                <a:ea typeface="+mn-ea"/>
                <a:cs typeface="+mn-cs"/>
              </a:defRPr>
            </a:pPr>
            <a:endParaRPr lang="ja-JP"/>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r>
              <a:rPr lang="ja-JP" altLang="en-US" sz="1200" b="1"/>
              <a:t>在院期間＿患者全体</a:t>
            </a:r>
            <a:endParaRPr lang="ja-JP" sz="1200" b="1"/>
          </a:p>
        </c:rich>
      </c:tx>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barChart>
        <c:barDir val="bar"/>
        <c:grouping val="stacked"/>
        <c:varyColors val="0"/>
        <c:ser>
          <c:idx val="0"/>
          <c:order val="0"/>
          <c:tx>
            <c:strRef>
              <c:f>'グラフ(在院期間)  (2)'!$M$19</c:f>
              <c:strCache>
                <c:ptCount val="1"/>
                <c:pt idx="0">
                  <c:v>65歳未満</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dLbl>
              <c:idx val="0"/>
              <c:tx>
                <c:rich>
                  <a:bodyPr/>
                  <a:lstStyle/>
                  <a:p>
                    <a:fld id="{91FAC83F-8808-4A15-9FBC-2AAF8359B327}"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84AB-4999-A1BC-17E386DA78AD}"/>
                </c:ext>
              </c:extLst>
            </c:dLbl>
            <c:dLbl>
              <c:idx val="1"/>
              <c:tx>
                <c:rich>
                  <a:bodyPr/>
                  <a:lstStyle/>
                  <a:p>
                    <a:fld id="{B37BB79A-1F1D-43B7-95B3-D8F5DCFEA6D3}" type="CELLRANGE">
                      <a:rPr lang="ja-JP" altLang="en-US"/>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4AB-4999-A1BC-17E386DA78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'グラフ(在院期間)  (2)'!$L$20:$L$21</c:f>
              <c:strCache>
                <c:ptCount val="2"/>
                <c:pt idx="0">
                  <c:v>1年未満</c:v>
                </c:pt>
                <c:pt idx="1">
                  <c:v>1年以上</c:v>
                </c:pt>
              </c:strCache>
            </c:strRef>
          </c:cat>
          <c:val>
            <c:numRef>
              <c:f>'グラフ(在院期間)  (2)'!$M$20:$M$21</c:f>
              <c:numCache>
                <c:formatCode>#,##0"人"</c:formatCode>
                <c:ptCount val="2"/>
                <c:pt idx="0">
                  <c:v>2660</c:v>
                </c:pt>
                <c:pt idx="1">
                  <c:v>3398</c:v>
                </c:pt>
              </c:numCache>
            </c:numRef>
          </c:val>
          <c:extLst>
            <c:ext xmlns:c15="http://schemas.microsoft.com/office/drawing/2012/chart" uri="{02D57815-91ED-43cb-92C2-25804820EDAC}">
              <c15:datalabelsRange>
                <c15:f>'グラフ(在院期間)  (2)'!$P$20:$P$21</c15:f>
                <c15:dlblRangeCache>
                  <c:ptCount val="2"/>
                  <c:pt idx="0">
                    <c:v>43.0%</c:v>
                  </c:pt>
                  <c:pt idx="1">
                    <c:v>37.5%</c:v>
                  </c:pt>
                </c15:dlblRangeCache>
              </c15:datalabelsRange>
            </c:ext>
            <c:ext xmlns:c16="http://schemas.microsoft.com/office/drawing/2014/chart" uri="{C3380CC4-5D6E-409C-BE32-E72D297353CC}">
              <c16:uniqueId val="{00000002-84AB-4999-A1BC-17E386DA78AD}"/>
            </c:ext>
          </c:extLst>
        </c:ser>
        <c:ser>
          <c:idx val="1"/>
          <c:order val="1"/>
          <c:tx>
            <c:strRef>
              <c:f>'グラフ(在院期間)  (2)'!$N$19</c:f>
              <c:strCache>
                <c:ptCount val="1"/>
                <c:pt idx="0">
                  <c:v>65歳以上</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dLbl>
              <c:idx val="0"/>
              <c:tx>
                <c:rich>
                  <a:bodyPr/>
                  <a:lstStyle/>
                  <a:p>
                    <a:fld id="{0C7B2ADF-79E9-42F6-A3AD-3086684518EB}"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84AB-4999-A1BC-17E386DA78AD}"/>
                </c:ext>
              </c:extLst>
            </c:dLbl>
            <c:dLbl>
              <c:idx val="1"/>
              <c:tx>
                <c:rich>
                  <a:bodyPr/>
                  <a:lstStyle/>
                  <a:p>
                    <a:fld id="{41588BEF-33C9-4220-8BFA-F129F399AA05}" type="CELLRANGE">
                      <a:rPr lang="ja-JP" altLang="en-US"/>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4AB-4999-A1BC-17E386DA78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'グラフ(在院期間)  (2)'!$L$20:$L$21</c:f>
              <c:strCache>
                <c:ptCount val="2"/>
                <c:pt idx="0">
                  <c:v>1年未満</c:v>
                </c:pt>
                <c:pt idx="1">
                  <c:v>1年以上</c:v>
                </c:pt>
              </c:strCache>
            </c:strRef>
          </c:cat>
          <c:val>
            <c:numRef>
              <c:f>'グラフ(在院期間)  (2)'!$N$20:$N$21</c:f>
              <c:numCache>
                <c:formatCode>#,##0"人"</c:formatCode>
                <c:ptCount val="2"/>
                <c:pt idx="0">
                  <c:v>3531</c:v>
                </c:pt>
                <c:pt idx="1">
                  <c:v>5664</c:v>
                </c:pt>
              </c:numCache>
            </c:numRef>
          </c:val>
          <c:extLst>
            <c:ext xmlns:c15="http://schemas.microsoft.com/office/drawing/2012/chart" uri="{02D57815-91ED-43cb-92C2-25804820EDAC}">
              <c15:datalabelsRange>
                <c15:f>'グラフ(在院期間)  (2)'!$Q$20:$Q$21</c15:f>
                <c15:dlblRangeCache>
                  <c:ptCount val="2"/>
                  <c:pt idx="0">
                    <c:v>57.0%</c:v>
                  </c:pt>
                  <c:pt idx="1">
                    <c:v>62.5%</c:v>
                  </c:pt>
                </c15:dlblRangeCache>
              </c15:datalabelsRange>
            </c:ext>
            <c:ext xmlns:c16="http://schemas.microsoft.com/office/drawing/2014/chart" uri="{C3380CC4-5D6E-409C-BE32-E72D297353CC}">
              <c16:uniqueId val="{00000005-84AB-4999-A1BC-17E386DA78AD}"/>
            </c:ext>
          </c:extLst>
        </c:ser>
        <c:dLbls>
          <c:dLblPos val="ctr"/>
          <c:showLegendKey val="0"/>
          <c:showVal val="1"/>
          <c:showCatName val="0"/>
          <c:showSerName val="0"/>
          <c:showPercent val="0"/>
          <c:showBubbleSize val="0"/>
        </c:dLbls>
        <c:gapWidth val="150"/>
        <c:overlap val="100"/>
        <c:axId val="116807760"/>
        <c:axId val="116801936"/>
      </c:barChart>
      <c:catAx>
        <c:axId val="116807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16801936"/>
        <c:crosses val="autoZero"/>
        <c:auto val="1"/>
        <c:lblAlgn val="ctr"/>
        <c:lblOffset val="100"/>
        <c:noMultiLvlLbl val="0"/>
      </c:catAx>
      <c:valAx>
        <c:axId val="116801936"/>
        <c:scaling>
          <c:orientation val="minMax"/>
        </c:scaling>
        <c:delete val="0"/>
        <c:axPos val="b"/>
        <c:majorGridlines>
          <c:spPr>
            <a:ln w="9525" cap="flat" cmpd="sng" algn="ctr">
              <a:solidFill>
                <a:schemeClr val="tx1">
                  <a:lumMod val="15000"/>
                  <a:lumOff val="85000"/>
                </a:schemeClr>
              </a:solidFill>
              <a:round/>
            </a:ln>
            <a:effectLst/>
          </c:spPr>
        </c:majorGridlines>
        <c:numFmt formatCode="#,##0&quot;人&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16807760"/>
        <c:crosses val="autoZero"/>
        <c:crossBetween val="between"/>
      </c:valAx>
      <c:dTable>
        <c:showHorzBorder val="1"/>
        <c:showVertBorder val="1"/>
        <c:showOutline val="1"/>
        <c:showKeys val="0"/>
        <c:spPr>
          <a:noFill/>
          <a:ln w="9525">
            <a:solidFill>
              <a:schemeClr val="tx1">
                <a:lumMod val="15000"/>
                <a:lumOff val="85000"/>
              </a:schemeClr>
            </a:solidFill>
          </a:ln>
          <a:effectLst/>
        </c:spPr>
        <c:txPr>
          <a:bodyPr rot="0" spcFirstLastPara="1" vertOverflow="ellipsis" vert="horz" wrap="square" anchor="ctr" anchorCtr="1"/>
          <a:lstStyle/>
          <a:p>
            <a:pPr rtl="0">
              <a:defRPr sz="800" b="0" i="0" u="none" strike="noStrike" kern="1200" baseline="0">
                <a:solidFill>
                  <a:schemeClr val="tx1">
                    <a:lumMod val="50000"/>
                    <a:lumOff val="50000"/>
                  </a:schemeClr>
                </a:solidFill>
                <a:latin typeface="+mn-lt"/>
                <a:ea typeface="+mn-ea"/>
                <a:cs typeface="+mn-cs"/>
              </a:defRPr>
            </a:pPr>
            <a:endParaRPr lang="ja-JP"/>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r>
              <a:rPr lang="ja-JP" altLang="en-US" sz="1200" b="1"/>
              <a:t>在院期間＿寛解・院内寛解群</a:t>
            </a:r>
            <a:endParaRPr lang="ja-JP" sz="1200" b="1"/>
          </a:p>
        </c:rich>
      </c:tx>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barChart>
        <c:barDir val="bar"/>
        <c:grouping val="stacked"/>
        <c:varyColors val="0"/>
        <c:ser>
          <c:idx val="0"/>
          <c:order val="0"/>
          <c:tx>
            <c:strRef>
              <c:f>'グラフ(在院期間)  (2)'!$M$22</c:f>
              <c:strCache>
                <c:ptCount val="1"/>
                <c:pt idx="0">
                  <c:v>65歳未満</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dLbl>
              <c:idx val="0"/>
              <c:tx>
                <c:rich>
                  <a:bodyPr/>
                  <a:lstStyle/>
                  <a:p>
                    <a:fld id="{AFC6A94F-4443-4BD4-AB82-38BCEB24A9EA}"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6C9-4CAE-A883-EF4256005F45}"/>
                </c:ext>
              </c:extLst>
            </c:dLbl>
            <c:dLbl>
              <c:idx val="1"/>
              <c:tx>
                <c:rich>
                  <a:bodyPr/>
                  <a:lstStyle/>
                  <a:p>
                    <a:fld id="{2F06A455-DEBD-4EB5-8C91-D8F33AFCB75C}"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6C9-4CAE-A883-EF4256005F45}"/>
                </c:ext>
              </c:extLst>
            </c:dLbl>
            <c:dLbl>
              <c:idx val="2"/>
              <c:layout>
                <c:manualLayout>
                  <c:x val="-6.632380182828003E-3"/>
                  <c:y val="-3.6002834868887314E-2"/>
                </c:manualLayout>
              </c:layout>
              <c:tx>
                <c:rich>
                  <a:bodyPr/>
                  <a:lstStyle/>
                  <a:p>
                    <a:fld id="{274410FC-5A5C-4664-A5AC-ABCEEFD0FE49}"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6C9-4CAE-A883-EF4256005F45}"/>
                </c:ext>
              </c:extLst>
            </c:dLbl>
            <c:dLbl>
              <c:idx val="3"/>
              <c:layout>
                <c:manualLayout>
                  <c:x val="3.3050219888893333E-2"/>
                  <c:y val="-7.6506024096385544E-2"/>
                </c:manualLayout>
              </c:layout>
              <c:tx>
                <c:rich>
                  <a:bodyPr/>
                  <a:lstStyle/>
                  <a:p>
                    <a:fld id="{24D671BE-4E31-4AC1-A24E-337F153E5A78}"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6C9-4CAE-A883-EF4256005F4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'グラフ(在院期間)  (2)'!$L$23:$L$24</c:f>
              <c:strCache>
                <c:ptCount val="2"/>
                <c:pt idx="0">
                  <c:v>1年未満</c:v>
                </c:pt>
                <c:pt idx="1">
                  <c:v>1年以上</c:v>
                </c:pt>
              </c:strCache>
            </c:strRef>
          </c:cat>
          <c:val>
            <c:numRef>
              <c:f>'グラフ(在院期間)  (2)'!$M$23:$M$24</c:f>
              <c:numCache>
                <c:formatCode>#,##0"人"</c:formatCode>
                <c:ptCount val="2"/>
                <c:pt idx="0">
                  <c:v>708</c:v>
                </c:pt>
                <c:pt idx="1">
                  <c:v>214</c:v>
                </c:pt>
              </c:numCache>
            </c:numRef>
          </c:val>
          <c:extLst>
            <c:ext xmlns:c15="http://schemas.microsoft.com/office/drawing/2012/chart" uri="{02D57815-91ED-43cb-92C2-25804820EDAC}">
              <c15:datalabelsRange>
                <c15:f>'グラフ(在院期間)  (2)'!$P$23:$P$24</c15:f>
                <c15:dlblRangeCache>
                  <c:ptCount val="2"/>
                  <c:pt idx="0">
                    <c:v>58.4%</c:v>
                  </c:pt>
                  <c:pt idx="1">
                    <c:v>38.7%</c:v>
                  </c:pt>
                </c15:dlblRangeCache>
              </c15:datalabelsRange>
            </c:ext>
            <c:ext xmlns:c16="http://schemas.microsoft.com/office/drawing/2014/chart" uri="{C3380CC4-5D6E-409C-BE32-E72D297353CC}">
              <c16:uniqueId val="{00000004-A6C9-4CAE-A883-EF4256005F45}"/>
            </c:ext>
          </c:extLst>
        </c:ser>
        <c:ser>
          <c:idx val="1"/>
          <c:order val="1"/>
          <c:tx>
            <c:strRef>
              <c:f>'グラフ(在院期間)  (2)'!$N$22</c:f>
              <c:strCache>
                <c:ptCount val="1"/>
                <c:pt idx="0">
                  <c:v>65歳以上</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dLbl>
              <c:idx val="0"/>
              <c:tx>
                <c:rich>
                  <a:bodyPr/>
                  <a:lstStyle/>
                  <a:p>
                    <a:fld id="{53721481-B2C4-464A-984B-FE990B25129E}"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6C9-4CAE-A883-EF4256005F45}"/>
                </c:ext>
              </c:extLst>
            </c:dLbl>
            <c:dLbl>
              <c:idx val="1"/>
              <c:tx>
                <c:rich>
                  <a:bodyPr rot="0" spcFirstLastPara="1" vertOverflow="overflow" horzOverflow="overflow"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fld id="{1319535E-FF54-4A00-A755-8B6EB93EF35D}" type="CELLRANGE">
                      <a:rPr lang="en-US" altLang="ja-JP"/>
                      <a:pPr>
                        <a:defRPr sz="800"/>
                      </a:pPr>
                      <a:t>[CELLRANGE]</a:t>
                    </a:fld>
                    <a:endParaRPr lang="ja-JP" altLang="en-US"/>
                  </a:p>
                </c:rich>
              </c:tx>
              <c:spPr>
                <a:noFill/>
                <a:ln>
                  <a:noFill/>
                </a:ln>
                <a:effectLst/>
              </c:spPr>
              <c:txPr>
                <a:bodyPr rot="0" spcFirstLastPara="1" vertOverflow="overflow" horzOverflow="overflow"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A6C9-4CAE-A883-EF4256005F45}"/>
                </c:ext>
              </c:extLst>
            </c:dLbl>
            <c:dLbl>
              <c:idx val="2"/>
              <c:layout>
                <c:manualLayout>
                  <c:x val="0.13567010946949548"/>
                  <c:y val="0"/>
                </c:manualLayout>
              </c:layout>
              <c:tx>
                <c:rich>
                  <a:bodyPr/>
                  <a:lstStyle/>
                  <a:p>
                    <a:fld id="{78776ADA-6B63-4EC8-A823-9CF628006C12}"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6C9-4CAE-A883-EF4256005F45}"/>
                </c:ext>
              </c:extLst>
            </c:dLbl>
            <c:dLbl>
              <c:idx val="3"/>
              <c:layout>
                <c:manualLayout>
                  <c:x val="0.10596246584831066"/>
                  <c:y val="-2.7002126151665487E-2"/>
                </c:manualLayout>
              </c:layout>
              <c:tx>
                <c:rich>
                  <a:bodyPr/>
                  <a:lstStyle/>
                  <a:p>
                    <a:fld id="{10AFB482-CF89-4F63-8E5C-953673290398}"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A6C9-4CAE-A883-EF4256005F4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'グラフ(在院期間)  (2)'!$L$23:$L$24</c:f>
              <c:strCache>
                <c:ptCount val="2"/>
                <c:pt idx="0">
                  <c:v>1年未満</c:v>
                </c:pt>
                <c:pt idx="1">
                  <c:v>1年以上</c:v>
                </c:pt>
              </c:strCache>
            </c:strRef>
          </c:cat>
          <c:val>
            <c:numRef>
              <c:f>'グラフ(在院期間)  (2)'!$N$23:$N$24</c:f>
              <c:numCache>
                <c:formatCode>#,##0"人"</c:formatCode>
                <c:ptCount val="2"/>
                <c:pt idx="0">
                  <c:v>505</c:v>
                </c:pt>
                <c:pt idx="1">
                  <c:v>339</c:v>
                </c:pt>
              </c:numCache>
            </c:numRef>
          </c:val>
          <c:extLst>
            <c:ext xmlns:c15="http://schemas.microsoft.com/office/drawing/2012/chart" uri="{02D57815-91ED-43cb-92C2-25804820EDAC}">
              <c15:datalabelsRange>
                <c15:f>'グラフ(在院期間)  (2)'!$Q$23:$Q$24</c15:f>
                <c15:dlblRangeCache>
                  <c:ptCount val="2"/>
                  <c:pt idx="0">
                    <c:v>41.6%</c:v>
                  </c:pt>
                  <c:pt idx="1">
                    <c:v>61.3%</c:v>
                  </c:pt>
                </c15:dlblRangeCache>
              </c15:datalabelsRange>
            </c:ext>
            <c:ext xmlns:c16="http://schemas.microsoft.com/office/drawing/2014/chart" uri="{C3380CC4-5D6E-409C-BE32-E72D297353CC}">
              <c16:uniqueId val="{00000009-A6C9-4CAE-A883-EF4256005F45}"/>
            </c:ext>
          </c:extLst>
        </c:ser>
        <c:dLbls>
          <c:showLegendKey val="0"/>
          <c:showVal val="0"/>
          <c:showCatName val="0"/>
          <c:showSerName val="0"/>
          <c:showPercent val="0"/>
          <c:showBubbleSize val="0"/>
        </c:dLbls>
        <c:gapWidth val="150"/>
        <c:overlap val="100"/>
        <c:axId val="116807760"/>
        <c:axId val="116801936"/>
      </c:barChart>
      <c:catAx>
        <c:axId val="116807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16801936"/>
        <c:crosses val="autoZero"/>
        <c:auto val="1"/>
        <c:lblAlgn val="ctr"/>
        <c:lblOffset val="100"/>
        <c:noMultiLvlLbl val="0"/>
      </c:catAx>
      <c:valAx>
        <c:axId val="116801936"/>
        <c:scaling>
          <c:orientation val="minMax"/>
        </c:scaling>
        <c:delete val="0"/>
        <c:axPos val="b"/>
        <c:majorGridlines>
          <c:spPr>
            <a:ln w="9525" cap="flat" cmpd="sng" algn="ctr">
              <a:solidFill>
                <a:schemeClr val="tx1">
                  <a:lumMod val="15000"/>
                  <a:lumOff val="85000"/>
                </a:schemeClr>
              </a:solidFill>
              <a:round/>
            </a:ln>
            <a:effectLst/>
          </c:spPr>
        </c:majorGridlines>
        <c:numFmt formatCode="#,##0&quot;人&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16807760"/>
        <c:crosses val="autoZero"/>
        <c:crossBetween val="between"/>
      </c:valAx>
      <c:dTable>
        <c:showHorzBorder val="1"/>
        <c:showVertBorder val="1"/>
        <c:showOutline val="1"/>
        <c:showKeys val="0"/>
        <c:spPr>
          <a:noFill/>
          <a:ln w="9525">
            <a:solidFill>
              <a:schemeClr val="tx1">
                <a:lumMod val="15000"/>
                <a:lumOff val="85000"/>
              </a:schemeClr>
            </a:solidFill>
          </a:ln>
          <a:effectLst/>
        </c:spPr>
        <c:txPr>
          <a:bodyPr rot="0" spcFirstLastPara="1" vertOverflow="ellipsis" vert="horz" wrap="square" anchor="ctr" anchorCtr="1"/>
          <a:lstStyle/>
          <a:p>
            <a:pPr rtl="0">
              <a:defRPr sz="800" b="0" i="0" u="none" strike="noStrike" kern="1200" baseline="0">
                <a:solidFill>
                  <a:schemeClr val="tx1">
                    <a:lumMod val="50000"/>
                    <a:lumOff val="50000"/>
                  </a:schemeClr>
                </a:solidFill>
                <a:latin typeface="+mn-lt"/>
                <a:ea typeface="+mn-ea"/>
                <a:cs typeface="+mn-cs"/>
              </a:defRPr>
            </a:pPr>
            <a:endParaRPr lang="ja-JP"/>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r>
              <a:rPr lang="ja-JP" b="1"/>
              <a:t>退院阻害要因の有無</a:t>
            </a:r>
          </a:p>
        </c:rich>
      </c:tx>
      <c:layout>
        <c:manualLayout>
          <c:xMode val="edge"/>
          <c:yMode val="edge"/>
          <c:x val="0.34159014620726857"/>
          <c:y val="2.2882777777777776E-2"/>
        </c:manualLayout>
      </c:layout>
      <c:overlay val="0"/>
      <c:spPr>
        <a:noFill/>
        <a:ln>
          <a:noFill/>
        </a:ln>
        <a:effectLst/>
      </c:spPr>
    </c:title>
    <c:autoTitleDeleted val="0"/>
    <c:plotArea>
      <c:layout>
        <c:manualLayout>
          <c:layoutTarget val="inner"/>
          <c:xMode val="edge"/>
          <c:yMode val="edge"/>
          <c:x val="6.9531712199843887E-2"/>
          <c:y val="0.19912972222222222"/>
          <c:w val="0.87222222222222212"/>
          <c:h val="0.74600129172335139"/>
        </c:manualLayout>
      </c:layout>
      <c:ofPieChart>
        <c:ofPieType val="pie"/>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1C89-44F0-84D0-778BA3C76980}"/>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1C89-44F0-84D0-778BA3C76980}"/>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1C89-44F0-84D0-778BA3C76980}"/>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1C89-44F0-84D0-778BA3C76980}"/>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1C89-44F0-84D0-778BA3C76980}"/>
              </c:ext>
            </c:extLst>
          </c:dPt>
          <c:dLbls>
            <c:dLbl>
              <c:idx val="0"/>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65000"/>
                          <a:lumOff val="35000"/>
                        </a:schemeClr>
                      </a:solidFill>
                      <a:latin typeface="+mn-lt"/>
                      <a:ea typeface="+mn-ea"/>
                      <a:cs typeface="+mn-cs"/>
                    </a:defRPr>
                  </a:pPr>
                  <a:endParaRPr lang="ja-JP"/>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1C89-44F0-84D0-778BA3C76980}"/>
                </c:ext>
              </c:extLst>
            </c:dLbl>
            <c:dLbl>
              <c:idx val="2"/>
              <c:layout>
                <c:manualLayout>
                  <c:x val="0.11914289077212806"/>
                  <c:y val="-0.21606543209876544"/>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1C89-44F0-84D0-778BA3C76980}"/>
                </c:ext>
              </c:extLst>
            </c:dLbl>
            <c:dLbl>
              <c:idx val="4"/>
              <c:layout>
                <c:manualLayout>
                  <c:x val="-3.5997292843691096E-2"/>
                  <c:y val="3.9743209876543208E-2"/>
                </c:manualLayout>
              </c:layout>
              <c:tx>
                <c:rich>
                  <a:bodyPr/>
                  <a:lstStyle/>
                  <a:p>
                    <a:r>
                      <a:rPr lang="ja-JP" altLang="en-US" baseline="0"/>
                      <a:t>病状（主症状）が落ち着き、入院によらない形で治療ができる程度まで回復</a:t>
                    </a:r>
                  </a:p>
                  <a:p>
                    <a:fld id="{7F0892E7-840C-4598-A7A2-E00560B6A5DD}" type="VALUE">
                      <a:rPr lang="ja-JP" altLang="en-US" baseline="0"/>
                      <a:pPr/>
                      <a:t>[値]</a:t>
                    </a:fld>
                    <a:endParaRPr lang="ja-JP" altLang="en-US" baseline="0"/>
                  </a:p>
                  <a:p>
                    <a:fld id="{06981F6A-4E2F-444E-A025-F19EAE412878}" type="PERCENTAGE">
                      <a:rPr lang="en-US" altLang="ja-JP" baseline="0"/>
                      <a:pPr/>
                      <a:t>[パーセンテージ]</a:t>
                    </a:fld>
                    <a:endParaRPr lang="ja-JP" alt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1C89-44F0-84D0-778BA3C7698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dLblPos val="bestFit"/>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'グラフ(退院阻害要因＿１) '!$P$9:$P$12</c:f>
              <c:strCache>
                <c:ptCount val="4"/>
                <c:pt idx="0">
                  <c:v>病状（主症状）が不安定で入院による治療が必要</c:v>
                </c:pt>
                <c:pt idx="1">
                  <c:v>退院予定</c:v>
                </c:pt>
                <c:pt idx="2">
                  <c:v>退院阻害要因がある</c:v>
                </c:pt>
                <c:pt idx="3">
                  <c:v>退院阻害要因がない</c:v>
                </c:pt>
              </c:strCache>
            </c:strRef>
          </c:cat>
          <c:val>
            <c:numRef>
              <c:f>'グラフ(退院阻害要因＿１) '!$Q$9:$Q$12</c:f>
              <c:numCache>
                <c:formatCode>#,##0"人"</c:formatCode>
                <c:ptCount val="4"/>
                <c:pt idx="0">
                  <c:v>11321</c:v>
                </c:pt>
                <c:pt idx="1">
                  <c:v>1745</c:v>
                </c:pt>
                <c:pt idx="2">
                  <c:v>1969</c:v>
                </c:pt>
                <c:pt idx="3">
                  <c:v>218</c:v>
                </c:pt>
              </c:numCache>
            </c:numRef>
          </c:val>
          <c:extLst>
            <c:ext xmlns:c16="http://schemas.microsoft.com/office/drawing/2014/chart" uri="{C3380CC4-5D6E-409C-BE32-E72D297353CC}">
              <c16:uniqueId val="{0000000A-1C89-44F0-84D0-778BA3C76980}"/>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r>
              <a:rPr lang="ja-JP" sz="1200" b="1"/>
              <a:t>退院阻害要因の有無</a:t>
            </a:r>
            <a:r>
              <a:rPr lang="ja-JP" altLang="en-US" sz="1200" b="1"/>
              <a:t>＿</a:t>
            </a:r>
            <a:r>
              <a:rPr lang="en-US" altLang="ja-JP" sz="1200" b="1"/>
              <a:t>1</a:t>
            </a:r>
            <a:r>
              <a:rPr lang="ja-JP" altLang="en-US" sz="1200" b="1"/>
              <a:t>年以上　寛解・院内寛解群</a:t>
            </a:r>
            <a:endParaRPr lang="ja-JP" sz="1200" b="1"/>
          </a:p>
        </c:rich>
      </c:tx>
      <c:layout>
        <c:manualLayout>
          <c:xMode val="edge"/>
          <c:yMode val="edge"/>
          <c:x val="0.12753567378198905"/>
          <c:y val="2.2882740324149081E-2"/>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6.9531712199843887E-2"/>
          <c:y val="0.19912972222222222"/>
          <c:w val="0.87222222222222212"/>
          <c:h val="0.74600129172335139"/>
        </c:manualLayout>
      </c:layout>
      <c:ofPieChart>
        <c:ofPieType val="pie"/>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5B7A-41BE-A599-6FBD5DED398A}"/>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5B7A-41BE-A599-6FBD5DED398A}"/>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5B7A-41BE-A599-6FBD5DED398A}"/>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5B7A-41BE-A599-6FBD5DED398A}"/>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5B7A-41BE-A599-6FBD5DED398A}"/>
              </c:ext>
            </c:extLst>
          </c:dPt>
          <c:dLbls>
            <c:dLbl>
              <c:idx val="4"/>
              <c:tx>
                <c:rich>
                  <a:bodyPr/>
                  <a:lstStyle/>
                  <a:p>
                    <a:r>
                      <a:rPr lang="ja-JP" altLang="en-US" baseline="0"/>
                      <a:t>病状（主症状）が落ち着き、入院によらない形で治療ができる程度まで回復</a:t>
                    </a:r>
                  </a:p>
                  <a:p>
                    <a:fld id="{599181A0-E3F6-4864-A070-B120CBE38657}" type="VALUE">
                      <a:rPr lang="ja-JP" altLang="en-US" baseline="0"/>
                      <a:pPr/>
                      <a:t>[値]</a:t>
                    </a:fld>
                    <a:endParaRPr lang="ja-JP" altLang="en-US" baseline="0"/>
                  </a:p>
                  <a:p>
                    <a:fld id="{06EA2244-7612-4771-8098-D5BBB153D990}" type="PERCENTAGE">
                      <a:rPr lang="en-US" altLang="ja-JP" baseline="0"/>
                      <a:pPr/>
                      <a:t>[パーセンテージ]</a:t>
                    </a:fld>
                    <a:endParaRPr lang="ja-JP" alt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5B7A-41BE-A599-6FBD5DED398A}"/>
                </c:ext>
              </c:extLst>
            </c:dLbl>
            <c:numFmt formatCode="0.0%" sourceLinked="0"/>
            <c:spPr>
              <a:noFill/>
              <a:ln>
                <a:noFill/>
              </a:ln>
              <a:effectLst/>
            </c:spPr>
            <c:txPr>
              <a:bodyPr rot="0" spcFirstLastPara="1" vertOverflow="overflow" horzOverflow="overflow"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dLblPos val="bestFit"/>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'グラフ(退院阻害要因＿１) '!$P$9:$P$12</c:f>
              <c:strCache>
                <c:ptCount val="4"/>
                <c:pt idx="0">
                  <c:v>病状（主症状）が不安定で入院による治療が必要</c:v>
                </c:pt>
                <c:pt idx="1">
                  <c:v>退院予定</c:v>
                </c:pt>
                <c:pt idx="2">
                  <c:v>退院阻害要因がある</c:v>
                </c:pt>
                <c:pt idx="3">
                  <c:v>退院阻害要因がない</c:v>
                </c:pt>
              </c:strCache>
            </c:strRef>
          </c:cat>
          <c:val>
            <c:numRef>
              <c:f>'グラフ(退院阻害要因＿１) '!$S$9:$S$12</c:f>
              <c:numCache>
                <c:formatCode>#,##0"人"</c:formatCode>
                <c:ptCount val="4"/>
                <c:pt idx="0">
                  <c:v>94</c:v>
                </c:pt>
                <c:pt idx="1">
                  <c:v>90</c:v>
                </c:pt>
                <c:pt idx="2">
                  <c:v>355</c:v>
                </c:pt>
                <c:pt idx="3">
                  <c:v>14</c:v>
                </c:pt>
              </c:numCache>
            </c:numRef>
          </c:val>
          <c:extLst>
            <c:ext xmlns:c15="http://schemas.microsoft.com/office/drawing/2012/chart" uri="{02D57815-91ED-43cb-92C2-25804820EDAC}">
              <c15:datalabelsRange>
                <c15:f>'グラフ(退院阻害要因＿１) '!$I$3:$I$5</c15:f>
                <c15:dlblRangeCache>
                  <c:ptCount val="3"/>
                  <c:pt idx="0">
                    <c:v>病状（主症状）が落ち着き、入院によらない形で治療ができる程度まで回復</c:v>
                  </c:pt>
                  <c:pt idx="1">
                    <c:v>病状（主症状）が不安定で入院による治療が必要</c:v>
                  </c:pt>
                  <c:pt idx="2">
                    <c:v>退院予定</c:v>
                  </c:pt>
                </c15:dlblRangeCache>
              </c15:datalabelsRange>
            </c:ext>
            <c:ext xmlns:c16="http://schemas.microsoft.com/office/drawing/2014/chart" uri="{C3380CC4-5D6E-409C-BE32-E72D297353CC}">
              <c16:uniqueId val="{0000000A-5B7A-41BE-A599-6FBD5DED398A}"/>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r>
              <a:rPr lang="ja-JP" b="1"/>
              <a:t>退院予定の有無</a:t>
            </a: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3362970809792846"/>
          <c:y val="0.29219135802469137"/>
          <c:w val="0.53694268608580786"/>
          <c:h val="0.58126578517307981"/>
        </c:manualLayout>
      </c:layout>
      <c:pieChart>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2B92-4CD4-90AA-2F1A93583109}"/>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2B92-4CD4-90AA-2F1A93583109}"/>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2B92-4CD4-90AA-2F1A9358310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dLblPos val="bestFit"/>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'グラフ(退院阻害要因＿１) '!$I$3:$I$5</c:f>
              <c:strCache>
                <c:ptCount val="3"/>
                <c:pt idx="0">
                  <c:v>病状（主症状）が落ち着き、入院によらない形で治療ができる程度まで回復</c:v>
                </c:pt>
                <c:pt idx="1">
                  <c:v>病状（主症状）が不安定で入院による治療が必要</c:v>
                </c:pt>
                <c:pt idx="2">
                  <c:v>退院予定</c:v>
                </c:pt>
              </c:strCache>
            </c:strRef>
          </c:cat>
          <c:val>
            <c:numRef>
              <c:f>'グラフ(退院阻害要因＿１) '!$J$3:$J$5</c:f>
              <c:numCache>
                <c:formatCode>#,##0"人"</c:formatCode>
                <c:ptCount val="3"/>
                <c:pt idx="0">
                  <c:v>2187</c:v>
                </c:pt>
                <c:pt idx="1">
                  <c:v>11321</c:v>
                </c:pt>
                <c:pt idx="2">
                  <c:v>1745</c:v>
                </c:pt>
              </c:numCache>
            </c:numRef>
          </c:val>
          <c:extLst>
            <c:ext xmlns:c16="http://schemas.microsoft.com/office/drawing/2014/chart" uri="{C3380CC4-5D6E-409C-BE32-E72D297353CC}">
              <c16:uniqueId val="{00000006-2B92-4CD4-90AA-2F1A9358310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ja-JP" sz="1200" b="1">
                <a:latin typeface="メイリオ" panose="020B0604030504040204" pitchFamily="50" charset="-128"/>
                <a:ea typeface="メイリオ" panose="020B0604030504040204" pitchFamily="50" charset="-128"/>
              </a:rPr>
              <a:t>年齢区分</a:t>
            </a:r>
            <a:r>
              <a:rPr lang="ja-JP" altLang="en-US" sz="1200" b="1">
                <a:latin typeface="メイリオ" panose="020B0604030504040204" pitchFamily="50" charset="-128"/>
                <a:ea typeface="メイリオ" panose="020B0604030504040204" pitchFamily="50" charset="-128"/>
              </a:rPr>
              <a:t>＿寛解・院内寛解群</a:t>
            </a:r>
            <a:endParaRPr lang="ja-JP" sz="1200" b="1">
              <a:latin typeface="メイリオ" panose="020B0604030504040204" pitchFamily="50" charset="-128"/>
              <a:ea typeface="メイリオ" panose="020B0604030504040204" pitchFamily="50" charset="-128"/>
            </a:endParaRPr>
          </a:p>
        </c:rich>
      </c:tx>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pieChart>
        <c:varyColors val="1"/>
        <c:ser>
          <c:idx val="2"/>
          <c:order val="0"/>
          <c:tx>
            <c:strRef>
              <c:f>'グラフ(年齢区分）'!$Q$4</c:f>
              <c:strCache>
                <c:ptCount val="1"/>
                <c:pt idx="0">
                  <c:v>計</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B8D9-4FC4-879E-1F357D6C2F1C}"/>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B8D9-4FC4-879E-1F357D6C2F1C}"/>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B8D9-4FC4-879E-1F357D6C2F1C}"/>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B8D9-4FC4-879E-1F357D6C2F1C}"/>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B8D9-4FC4-879E-1F357D6C2F1C}"/>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B8D9-4FC4-879E-1F357D6C2F1C}"/>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B8D9-4FC4-879E-1F357D6C2F1C}"/>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B8D9-4FC4-879E-1F357D6C2F1C}"/>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B8D9-4FC4-879E-1F357D6C2F1C}"/>
              </c:ext>
            </c:extLst>
          </c:dPt>
          <c:dLbls>
            <c:dLbl>
              <c:idx val="0"/>
              <c:layout>
                <c:manualLayout>
                  <c:x val="0.12442556134770341"/>
                  <c:y val="4.9651485217381996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8D9-4FC4-879E-1F357D6C2F1C}"/>
                </c:ext>
              </c:extLst>
            </c:dLbl>
            <c:dLbl>
              <c:idx val="1"/>
              <c:layout>
                <c:manualLayout>
                  <c:x val="0.2619202533261431"/>
                  <c:y val="6.2774795646340767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8D9-4FC4-879E-1F357D6C2F1C}"/>
                </c:ext>
              </c:extLst>
            </c:dLbl>
            <c:dLbl>
              <c:idx val="2"/>
              <c:layout>
                <c:manualLayout>
                  <c:x val="0.16198193058280108"/>
                  <c:y val="0.21760671802204651"/>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B8D9-4FC4-879E-1F357D6C2F1C}"/>
                </c:ext>
              </c:extLst>
            </c:dLbl>
            <c:dLbl>
              <c:idx val="8"/>
              <c:layout>
                <c:manualLayout>
                  <c:x val="-0.2713028573389562"/>
                  <c:y val="7.0514558945856468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B8D9-4FC4-879E-1F357D6C2F1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'グラフ(年齢区分）'!$M$5:$M$13</c:f>
              <c:strCache>
                <c:ptCount val="9"/>
                <c:pt idx="0">
                  <c:v>19歳以下</c:v>
                </c:pt>
                <c:pt idx="1">
                  <c:v>20歳代</c:v>
                </c:pt>
                <c:pt idx="2">
                  <c:v>30歳代</c:v>
                </c:pt>
                <c:pt idx="3">
                  <c:v>40歳代</c:v>
                </c:pt>
                <c:pt idx="4">
                  <c:v>50歳代</c:v>
                </c:pt>
                <c:pt idx="5">
                  <c:v>60歳代</c:v>
                </c:pt>
                <c:pt idx="6">
                  <c:v>70歳代</c:v>
                </c:pt>
                <c:pt idx="7">
                  <c:v>80歳代</c:v>
                </c:pt>
                <c:pt idx="8">
                  <c:v>90歳以上</c:v>
                </c:pt>
              </c:strCache>
            </c:strRef>
          </c:cat>
          <c:val>
            <c:numRef>
              <c:f>'グラフ(年齢区分）'!$Q$5:$Q$13</c:f>
              <c:numCache>
                <c:formatCode>#,##0"人"</c:formatCode>
                <c:ptCount val="9"/>
                <c:pt idx="0">
                  <c:v>41</c:v>
                </c:pt>
                <c:pt idx="1">
                  <c:v>72</c:v>
                </c:pt>
                <c:pt idx="2">
                  <c:v>93</c:v>
                </c:pt>
                <c:pt idx="3">
                  <c:v>237</c:v>
                </c:pt>
                <c:pt idx="4">
                  <c:v>325</c:v>
                </c:pt>
                <c:pt idx="5">
                  <c:v>300</c:v>
                </c:pt>
                <c:pt idx="6">
                  <c:v>407</c:v>
                </c:pt>
                <c:pt idx="7">
                  <c:v>248</c:v>
                </c:pt>
                <c:pt idx="8">
                  <c:v>43</c:v>
                </c:pt>
              </c:numCache>
            </c:numRef>
          </c:val>
          <c:extLst>
            <c:ext xmlns:c16="http://schemas.microsoft.com/office/drawing/2014/chart" uri="{C3380CC4-5D6E-409C-BE32-E72D297353CC}">
              <c16:uniqueId val="{00000012-B8D9-4FC4-879E-1F357D6C2F1C}"/>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r>
              <a:rPr lang="ja-JP" b="1"/>
              <a:t>退院予定の有無（</a:t>
            </a:r>
            <a:r>
              <a:rPr lang="en-US" b="1"/>
              <a:t>1</a:t>
            </a:r>
            <a:r>
              <a:rPr lang="ja-JP" b="1"/>
              <a:t>年以上寛解・院内寛解群）</a:t>
            </a: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pieChart>
        <c:varyColors val="1"/>
        <c:ser>
          <c:idx val="0"/>
          <c:order val="0"/>
          <c:explosion val="2"/>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ABFC-405E-8739-0649B48FAC54}"/>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ABFC-405E-8739-0649B48FAC54}"/>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ABFC-405E-8739-0649B48FAC54}"/>
              </c:ext>
            </c:extLst>
          </c:dPt>
          <c:dLbls>
            <c:dLbl>
              <c:idx val="0"/>
              <c:layout>
                <c:manualLayout>
                  <c:x val="-2.224495916504296E-3"/>
                  <c:y val="-4.245390810327705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BFC-405E-8739-0649B48FAC54}"/>
                </c:ext>
              </c:extLst>
            </c:dLbl>
            <c:dLbl>
              <c:idx val="1"/>
              <c:layout>
                <c:manualLayout>
                  <c:x val="9.9084645669291357E-2"/>
                  <c:y val="6.138524351122767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BFC-405E-8739-0649B48FAC54}"/>
                </c:ext>
              </c:extLst>
            </c:dLbl>
            <c:dLbl>
              <c:idx val="2"/>
              <c:layout>
                <c:manualLayout>
                  <c:x val="4.8185258092738409E-2"/>
                  <c:y val="6.219488188976377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BFC-405E-8739-0649B48FAC5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showLegendKey val="0"/>
            <c:showVal val="1"/>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'グラフ(退院阻害要因＿１) '!$I$3:$I$5</c:f>
              <c:strCache>
                <c:ptCount val="3"/>
                <c:pt idx="0">
                  <c:v>病状（主症状）が落ち着き、入院によらない形で治療ができる程度まで回復</c:v>
                </c:pt>
                <c:pt idx="1">
                  <c:v>病状（主症状）が不安定で入院による治療が必要</c:v>
                </c:pt>
                <c:pt idx="2">
                  <c:v>退院予定</c:v>
                </c:pt>
              </c:strCache>
            </c:strRef>
          </c:cat>
          <c:val>
            <c:numRef>
              <c:f>'グラフ(退院阻害要因＿１) '!$L$3:$L$5</c:f>
              <c:numCache>
                <c:formatCode>#,##0"人"</c:formatCode>
                <c:ptCount val="3"/>
                <c:pt idx="0">
                  <c:v>369</c:v>
                </c:pt>
                <c:pt idx="1">
                  <c:v>94</c:v>
                </c:pt>
                <c:pt idx="2">
                  <c:v>90</c:v>
                </c:pt>
              </c:numCache>
            </c:numRef>
          </c:val>
          <c:extLst>
            <c:ext xmlns:c16="http://schemas.microsoft.com/office/drawing/2014/chart" uri="{C3380CC4-5D6E-409C-BE32-E72D297353CC}">
              <c16:uniqueId val="{00000006-ABFC-405E-8739-0649B48FAC54}"/>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ja-JP"/>
              <a:t>退院阻害要因（複数回答）</a:t>
            </a:r>
          </a:p>
        </c:rich>
      </c:tx>
      <c:layout>
        <c:manualLayout>
          <c:xMode val="edge"/>
          <c:yMode val="edge"/>
          <c:x val="0.25397944100006864"/>
          <c:y val="4.7142134634455676E-3"/>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5006108611423572"/>
          <c:y val="8.7115148450480392E-2"/>
          <c:w val="0.45619237924329531"/>
          <c:h val="0.85802993089166602"/>
        </c:manualLayout>
      </c:layout>
      <c:barChart>
        <c:barDir val="bar"/>
        <c:grouping val="clustered"/>
        <c:varyColors val="0"/>
        <c:ser>
          <c:idx val="0"/>
          <c:order val="0"/>
          <c:tx>
            <c:strRef>
              <c:f>'グラフ(退院阻害要因＿２）'!$L$3</c:f>
              <c:strCache>
                <c:ptCount val="1"/>
                <c:pt idx="0">
                  <c:v>65歳未満</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cat>
            <c:strRef>
              <c:f>'グラフ(退院阻害要因＿２）'!$K$4:$K$21</c:f>
              <c:strCache>
                <c:ptCount val="18"/>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その他の退院阻害要因がある</c:v>
                </c:pt>
              </c:strCache>
            </c:strRef>
          </c:cat>
          <c:val>
            <c:numRef>
              <c:f>'グラフ(退院阻害要因＿２）'!$L$4:$L$21</c:f>
              <c:numCache>
                <c:formatCode>0.0%</c:formatCode>
                <c:ptCount val="18"/>
                <c:pt idx="0">
                  <c:v>9.906291834002677E-2</c:v>
                </c:pt>
                <c:pt idx="1">
                  <c:v>7.2289156626506021E-2</c:v>
                </c:pt>
                <c:pt idx="2">
                  <c:v>1.4725568942436412E-2</c:v>
                </c:pt>
                <c:pt idx="3">
                  <c:v>9.1030789825970543E-2</c:v>
                </c:pt>
                <c:pt idx="4">
                  <c:v>7.2289156626506021E-2</c:v>
                </c:pt>
                <c:pt idx="5">
                  <c:v>9.6385542168674704E-2</c:v>
                </c:pt>
                <c:pt idx="6">
                  <c:v>1.8741633199464525E-2</c:v>
                </c:pt>
                <c:pt idx="7">
                  <c:v>6.4257028112449793E-2</c:v>
                </c:pt>
                <c:pt idx="8">
                  <c:v>6.2918340026773767E-2</c:v>
                </c:pt>
                <c:pt idx="9">
                  <c:v>6.1579651941097727E-2</c:v>
                </c:pt>
                <c:pt idx="10">
                  <c:v>0.12449799196787148</c:v>
                </c:pt>
                <c:pt idx="11">
                  <c:v>1.8741633199464525E-2</c:v>
                </c:pt>
                <c:pt idx="12">
                  <c:v>1.7402945113788489E-2</c:v>
                </c:pt>
                <c:pt idx="13">
                  <c:v>1.3386880856760374E-3</c:v>
                </c:pt>
                <c:pt idx="14">
                  <c:v>3.2128514056224897E-2</c:v>
                </c:pt>
                <c:pt idx="15">
                  <c:v>4.0160642570281124E-2</c:v>
                </c:pt>
                <c:pt idx="16">
                  <c:v>1.3386880856760375E-2</c:v>
                </c:pt>
                <c:pt idx="17">
                  <c:v>2.8112449799196786E-2</c:v>
                </c:pt>
              </c:numCache>
            </c:numRef>
          </c:val>
          <c:extLst>
            <c:ext xmlns:c16="http://schemas.microsoft.com/office/drawing/2014/chart" uri="{C3380CC4-5D6E-409C-BE32-E72D297353CC}">
              <c16:uniqueId val="{00000000-937D-4A97-83B7-B58ADA48352F}"/>
            </c:ext>
          </c:extLst>
        </c:ser>
        <c:ser>
          <c:idx val="1"/>
          <c:order val="1"/>
          <c:tx>
            <c:strRef>
              <c:f>'グラフ(退院阻害要因＿２）'!$M$3</c:f>
              <c:strCache>
                <c:ptCount val="1"/>
                <c:pt idx="0">
                  <c:v>65歳以上</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cat>
            <c:strRef>
              <c:f>'グラフ(退院阻害要因＿２）'!$K$4:$K$21</c:f>
              <c:strCache>
                <c:ptCount val="18"/>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その他の退院阻害要因がある</c:v>
                </c:pt>
              </c:strCache>
            </c:strRef>
          </c:cat>
          <c:val>
            <c:numRef>
              <c:f>'グラフ(退院阻害要因＿２）'!$M$4:$M$21</c:f>
              <c:numCache>
                <c:formatCode>0.0%</c:formatCode>
                <c:ptCount val="18"/>
                <c:pt idx="0">
                  <c:v>7.4468085106382975E-2</c:v>
                </c:pt>
                <c:pt idx="1">
                  <c:v>5.2373158756137482E-2</c:v>
                </c:pt>
                <c:pt idx="2">
                  <c:v>4.9099836333878887E-3</c:v>
                </c:pt>
                <c:pt idx="3">
                  <c:v>0.10801963993453355</c:v>
                </c:pt>
                <c:pt idx="4">
                  <c:v>7.0376432078559745E-2</c:v>
                </c:pt>
                <c:pt idx="5">
                  <c:v>7.6104746317512281E-2</c:v>
                </c:pt>
                <c:pt idx="6">
                  <c:v>1.4729950900163666E-2</c:v>
                </c:pt>
                <c:pt idx="7">
                  <c:v>5.7283142389525366E-2</c:v>
                </c:pt>
                <c:pt idx="8">
                  <c:v>3.927986906710311E-2</c:v>
                </c:pt>
                <c:pt idx="9">
                  <c:v>6.137479541734861E-2</c:v>
                </c:pt>
                <c:pt idx="10">
                  <c:v>0.11538461538461539</c:v>
                </c:pt>
                <c:pt idx="11">
                  <c:v>2.20949263502455E-2</c:v>
                </c:pt>
                <c:pt idx="12">
                  <c:v>1.0638297872340425E-2</c:v>
                </c:pt>
                <c:pt idx="13">
                  <c:v>1.6366612111292963E-3</c:v>
                </c:pt>
                <c:pt idx="14">
                  <c:v>2.9459901800327332E-2</c:v>
                </c:pt>
                <c:pt idx="15">
                  <c:v>2.7004909983633387E-2</c:v>
                </c:pt>
                <c:pt idx="16">
                  <c:v>1.6366612111292963E-3</c:v>
                </c:pt>
                <c:pt idx="17">
                  <c:v>1.3911620294599018E-2</c:v>
                </c:pt>
              </c:numCache>
            </c:numRef>
          </c:val>
          <c:extLst>
            <c:ext xmlns:c16="http://schemas.microsoft.com/office/drawing/2014/chart" uri="{C3380CC4-5D6E-409C-BE32-E72D297353CC}">
              <c16:uniqueId val="{00000001-937D-4A97-83B7-B58ADA48352F}"/>
            </c:ext>
          </c:extLst>
        </c:ser>
        <c:dLbls>
          <c:showLegendKey val="0"/>
          <c:showVal val="0"/>
          <c:showCatName val="0"/>
          <c:showSerName val="0"/>
          <c:showPercent val="0"/>
          <c:showBubbleSize val="0"/>
        </c:dLbls>
        <c:gapWidth val="100"/>
        <c:axId val="1896483359"/>
        <c:axId val="1896485023"/>
      </c:barChart>
      <c:catAx>
        <c:axId val="1896483359"/>
        <c:scaling>
          <c:orientation val="maxMin"/>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896485023"/>
        <c:crosses val="autoZero"/>
        <c:auto val="1"/>
        <c:lblAlgn val="ctr"/>
        <c:lblOffset val="100"/>
        <c:tickMarkSkip val="1"/>
        <c:noMultiLvlLbl val="0"/>
      </c:catAx>
      <c:valAx>
        <c:axId val="1896485023"/>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8964833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退院阻害要因（複数回答）</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'グラフ(退院阻害要因＿２）'!$L$47</c:f>
              <c:strCache>
                <c:ptCount val="1"/>
                <c:pt idx="0">
                  <c:v>1年未満</c:v>
                </c:pt>
              </c:strCache>
            </c:strRef>
          </c:tx>
          <c:spPr>
            <a:solidFill>
              <a:schemeClr val="accent5">
                <a:tint val="58000"/>
              </a:schemeClr>
            </a:solidFill>
            <a:ln>
              <a:noFill/>
            </a:ln>
            <a:effectLst/>
          </c:spPr>
          <c:invertIfNegative val="0"/>
          <c:cat>
            <c:strRef>
              <c:f>'グラフ(退院阻害要因＿２）'!$K$48:$K$65</c:f>
              <c:strCache>
                <c:ptCount val="18"/>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その他の退院阻害要因がある</c:v>
                </c:pt>
              </c:strCache>
            </c:strRef>
          </c:cat>
          <c:val>
            <c:numRef>
              <c:f>'グラフ(退院阻害要因＿２）'!$L$48:$L$65</c:f>
              <c:numCache>
                <c:formatCode>0.0%</c:formatCode>
                <c:ptCount val="18"/>
                <c:pt idx="0">
                  <c:v>0.38347107438016531</c:v>
                </c:pt>
                <c:pt idx="1">
                  <c:v>0.26611570247933886</c:v>
                </c:pt>
                <c:pt idx="2">
                  <c:v>6.2809917355371905E-2</c:v>
                </c:pt>
                <c:pt idx="3">
                  <c:v>0.22148760330578512</c:v>
                </c:pt>
                <c:pt idx="4">
                  <c:v>0.3669421487603306</c:v>
                </c:pt>
                <c:pt idx="5">
                  <c:v>0.23140495867768596</c:v>
                </c:pt>
                <c:pt idx="6">
                  <c:v>8.7603305785123972E-2</c:v>
                </c:pt>
                <c:pt idx="7">
                  <c:v>0.24132231404958679</c:v>
                </c:pt>
                <c:pt idx="8">
                  <c:v>0.15537190082644628</c:v>
                </c:pt>
                <c:pt idx="9">
                  <c:v>0.15041322314049588</c:v>
                </c:pt>
                <c:pt idx="10">
                  <c:v>0.4396694214876033</c:v>
                </c:pt>
                <c:pt idx="11">
                  <c:v>5.7851239669421489E-2</c:v>
                </c:pt>
                <c:pt idx="12">
                  <c:v>6.4462809917355368E-2</c:v>
                </c:pt>
                <c:pt idx="13">
                  <c:v>4.9586776859504135E-3</c:v>
                </c:pt>
                <c:pt idx="14">
                  <c:v>8.9256198347107435E-2</c:v>
                </c:pt>
                <c:pt idx="15">
                  <c:v>8.7603305785123972E-2</c:v>
                </c:pt>
                <c:pt idx="16">
                  <c:v>2.1487603305785124E-2</c:v>
                </c:pt>
                <c:pt idx="17">
                  <c:v>7.768595041322314E-2</c:v>
                </c:pt>
              </c:numCache>
            </c:numRef>
          </c:val>
          <c:extLst>
            <c:ext xmlns:c16="http://schemas.microsoft.com/office/drawing/2014/chart" uri="{C3380CC4-5D6E-409C-BE32-E72D297353CC}">
              <c16:uniqueId val="{00000000-0152-42E9-876D-48168C644E88}"/>
            </c:ext>
          </c:extLst>
        </c:ser>
        <c:ser>
          <c:idx val="1"/>
          <c:order val="1"/>
          <c:tx>
            <c:strRef>
              <c:f>'グラフ(退院阻害要因＿２）'!$M$47</c:f>
              <c:strCache>
                <c:ptCount val="1"/>
                <c:pt idx="0">
                  <c:v>1年以上5年未満</c:v>
                </c:pt>
              </c:strCache>
            </c:strRef>
          </c:tx>
          <c:spPr>
            <a:solidFill>
              <a:schemeClr val="accent5">
                <a:tint val="86000"/>
              </a:schemeClr>
            </a:solidFill>
            <a:ln>
              <a:noFill/>
            </a:ln>
            <a:effectLst/>
          </c:spPr>
          <c:invertIfNegative val="0"/>
          <c:cat>
            <c:strRef>
              <c:f>'グラフ(退院阻害要因＿２）'!$K$48:$K$65</c:f>
              <c:strCache>
                <c:ptCount val="18"/>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その他の退院阻害要因がある</c:v>
                </c:pt>
              </c:strCache>
            </c:strRef>
          </c:cat>
          <c:val>
            <c:numRef>
              <c:f>'グラフ(退院阻害要因＿２）'!$M$48:$M$65</c:f>
              <c:numCache>
                <c:formatCode>0.0%</c:formatCode>
                <c:ptCount val="18"/>
                <c:pt idx="0">
                  <c:v>0.35654596100278552</c:v>
                </c:pt>
                <c:pt idx="1">
                  <c:v>0.27019498607242337</c:v>
                </c:pt>
                <c:pt idx="2">
                  <c:v>5.2924791086350974E-2</c:v>
                </c:pt>
                <c:pt idx="3">
                  <c:v>0.38300835654596099</c:v>
                </c:pt>
                <c:pt idx="4">
                  <c:v>0.40529247910863508</c:v>
                </c:pt>
                <c:pt idx="5">
                  <c:v>0.31058495821727017</c:v>
                </c:pt>
                <c:pt idx="6">
                  <c:v>8.2172701949860719E-2</c:v>
                </c:pt>
                <c:pt idx="7">
                  <c:v>0.3370473537604457</c:v>
                </c:pt>
                <c:pt idx="8">
                  <c:v>0.1713091922005571</c:v>
                </c:pt>
                <c:pt idx="9">
                  <c:v>0.24233983286908078</c:v>
                </c:pt>
                <c:pt idx="10">
                  <c:v>0.38300835654596099</c:v>
                </c:pt>
                <c:pt idx="11">
                  <c:v>7.5208913649025072E-2</c:v>
                </c:pt>
                <c:pt idx="12">
                  <c:v>4.7353760445682451E-2</c:v>
                </c:pt>
                <c:pt idx="13">
                  <c:v>2.7855153203342618E-3</c:v>
                </c:pt>
                <c:pt idx="14">
                  <c:v>9.8885793871866301E-2</c:v>
                </c:pt>
                <c:pt idx="15">
                  <c:v>8.9136490250696379E-2</c:v>
                </c:pt>
                <c:pt idx="16">
                  <c:v>1.9498607242339833E-2</c:v>
                </c:pt>
                <c:pt idx="17">
                  <c:v>5.5710306406685235E-2</c:v>
                </c:pt>
              </c:numCache>
            </c:numRef>
          </c:val>
          <c:extLst>
            <c:ext xmlns:c16="http://schemas.microsoft.com/office/drawing/2014/chart" uri="{C3380CC4-5D6E-409C-BE32-E72D297353CC}">
              <c16:uniqueId val="{00000001-0152-42E9-876D-48168C644E88}"/>
            </c:ext>
          </c:extLst>
        </c:ser>
        <c:ser>
          <c:idx val="2"/>
          <c:order val="2"/>
          <c:tx>
            <c:strRef>
              <c:f>'グラフ(退院阻害要因＿２）'!$N$47</c:f>
              <c:strCache>
                <c:ptCount val="1"/>
                <c:pt idx="0">
                  <c:v>5年以上10年未満</c:v>
                </c:pt>
              </c:strCache>
            </c:strRef>
          </c:tx>
          <c:spPr>
            <a:solidFill>
              <a:schemeClr val="accent5">
                <a:shade val="86000"/>
              </a:schemeClr>
            </a:solidFill>
            <a:ln>
              <a:noFill/>
            </a:ln>
            <a:effectLst/>
          </c:spPr>
          <c:invertIfNegative val="0"/>
          <c:cat>
            <c:strRef>
              <c:f>'グラフ(退院阻害要因＿２）'!$K$48:$K$65</c:f>
              <c:strCache>
                <c:ptCount val="18"/>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その他の退院阻害要因がある</c:v>
                </c:pt>
              </c:strCache>
            </c:strRef>
          </c:cat>
          <c:val>
            <c:numRef>
              <c:f>'グラフ(退院阻害要因＿２）'!$N$48:$N$65</c:f>
              <c:numCache>
                <c:formatCode>0.0%</c:formatCode>
                <c:ptCount val="18"/>
                <c:pt idx="0">
                  <c:v>0.36896551724137933</c:v>
                </c:pt>
                <c:pt idx="1">
                  <c:v>0.32758620689655171</c:v>
                </c:pt>
                <c:pt idx="2">
                  <c:v>7.2413793103448282E-2</c:v>
                </c:pt>
                <c:pt idx="3">
                  <c:v>0.4517241379310345</c:v>
                </c:pt>
                <c:pt idx="4">
                  <c:v>0.48275862068965519</c:v>
                </c:pt>
                <c:pt idx="5">
                  <c:v>0.38275862068965516</c:v>
                </c:pt>
                <c:pt idx="6">
                  <c:v>0.10344827586206896</c:v>
                </c:pt>
                <c:pt idx="7">
                  <c:v>0.32758620689655171</c:v>
                </c:pt>
                <c:pt idx="8">
                  <c:v>0.22068965517241379</c:v>
                </c:pt>
                <c:pt idx="9">
                  <c:v>0.28620689655172415</c:v>
                </c:pt>
                <c:pt idx="10">
                  <c:v>0.27241379310344827</c:v>
                </c:pt>
                <c:pt idx="11">
                  <c:v>5.1724137931034482E-2</c:v>
                </c:pt>
                <c:pt idx="12">
                  <c:v>7.586206896551724E-2</c:v>
                </c:pt>
                <c:pt idx="13">
                  <c:v>6.8965517241379309E-3</c:v>
                </c:pt>
                <c:pt idx="14">
                  <c:v>5.8620689655172413E-2</c:v>
                </c:pt>
                <c:pt idx="15">
                  <c:v>9.6551724137931033E-2</c:v>
                </c:pt>
                <c:pt idx="16">
                  <c:v>2.0689655172413793E-2</c:v>
                </c:pt>
                <c:pt idx="17">
                  <c:v>5.8620689655172413E-2</c:v>
                </c:pt>
              </c:numCache>
            </c:numRef>
          </c:val>
          <c:extLst>
            <c:ext xmlns:c16="http://schemas.microsoft.com/office/drawing/2014/chart" uri="{C3380CC4-5D6E-409C-BE32-E72D297353CC}">
              <c16:uniqueId val="{00000002-0152-42E9-876D-48168C644E88}"/>
            </c:ext>
          </c:extLst>
        </c:ser>
        <c:ser>
          <c:idx val="3"/>
          <c:order val="3"/>
          <c:tx>
            <c:strRef>
              <c:f>'グラフ(退院阻害要因＿２）'!$O$47</c:f>
              <c:strCache>
                <c:ptCount val="1"/>
                <c:pt idx="0">
                  <c:v>10年以上</c:v>
                </c:pt>
              </c:strCache>
            </c:strRef>
          </c:tx>
          <c:spPr>
            <a:solidFill>
              <a:schemeClr val="accent5">
                <a:shade val="58000"/>
              </a:schemeClr>
            </a:solidFill>
            <a:ln>
              <a:noFill/>
            </a:ln>
            <a:effectLst/>
          </c:spPr>
          <c:invertIfNegative val="0"/>
          <c:cat>
            <c:strRef>
              <c:f>'グラフ(退院阻害要因＿２）'!$K$48:$K$65</c:f>
              <c:strCache>
                <c:ptCount val="18"/>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その他の退院阻害要因がある</c:v>
                </c:pt>
              </c:strCache>
            </c:strRef>
          </c:cat>
          <c:val>
            <c:numRef>
              <c:f>'グラフ(退院阻害要因＿２）'!$O$48:$O$65</c:f>
              <c:numCache>
                <c:formatCode>0.0%</c:formatCode>
                <c:ptCount val="18"/>
                <c:pt idx="0">
                  <c:v>0.3848314606741573</c:v>
                </c:pt>
                <c:pt idx="1">
                  <c:v>0.34269662921348315</c:v>
                </c:pt>
                <c:pt idx="2">
                  <c:v>5.6179775280898875E-2</c:v>
                </c:pt>
                <c:pt idx="3">
                  <c:v>0.5252808988764045</c:v>
                </c:pt>
                <c:pt idx="4">
                  <c:v>0.5252808988764045</c:v>
                </c:pt>
                <c:pt idx="5">
                  <c:v>0.3595505617977528</c:v>
                </c:pt>
                <c:pt idx="6">
                  <c:v>0.1151685393258427</c:v>
                </c:pt>
                <c:pt idx="7">
                  <c:v>0.3651685393258427</c:v>
                </c:pt>
                <c:pt idx="8">
                  <c:v>0.24157303370786518</c:v>
                </c:pt>
                <c:pt idx="9">
                  <c:v>0.27247191011235955</c:v>
                </c:pt>
                <c:pt idx="10">
                  <c:v>0.25</c:v>
                </c:pt>
                <c:pt idx="11">
                  <c:v>4.7752808988764044E-2</c:v>
                </c:pt>
                <c:pt idx="12">
                  <c:v>6.741573033707865E-2</c:v>
                </c:pt>
                <c:pt idx="13">
                  <c:v>1.1235955056179775E-2</c:v>
                </c:pt>
                <c:pt idx="14">
                  <c:v>6.4606741573033713E-2</c:v>
                </c:pt>
                <c:pt idx="15">
                  <c:v>0.10393258426966293</c:v>
                </c:pt>
                <c:pt idx="16">
                  <c:v>2.8089887640449437E-3</c:v>
                </c:pt>
                <c:pt idx="17">
                  <c:v>1.9662921348314606E-2</c:v>
                </c:pt>
              </c:numCache>
            </c:numRef>
          </c:val>
          <c:extLst>
            <c:ext xmlns:c16="http://schemas.microsoft.com/office/drawing/2014/chart" uri="{C3380CC4-5D6E-409C-BE32-E72D297353CC}">
              <c16:uniqueId val="{00000003-0152-42E9-876D-48168C644E88}"/>
            </c:ext>
          </c:extLst>
        </c:ser>
        <c:dLbls>
          <c:showLegendKey val="0"/>
          <c:showVal val="0"/>
          <c:showCatName val="0"/>
          <c:showSerName val="0"/>
          <c:showPercent val="0"/>
          <c:showBubbleSize val="0"/>
        </c:dLbls>
        <c:gapWidth val="182"/>
        <c:axId val="1977369407"/>
        <c:axId val="1977377727"/>
      </c:barChart>
      <c:catAx>
        <c:axId val="197736940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77377727"/>
        <c:crosses val="autoZero"/>
        <c:auto val="1"/>
        <c:lblAlgn val="ctr"/>
        <c:lblOffset val="100"/>
        <c:noMultiLvlLbl val="0"/>
      </c:catAx>
      <c:valAx>
        <c:axId val="1977377727"/>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773694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1</a:t>
            </a:r>
            <a:r>
              <a:rPr lang="ja-JP" altLang="en-US" sz="1200" b="1">
                <a:latin typeface="メイリオ" panose="020B0604030504040204" pitchFamily="50" charset="-128"/>
                <a:ea typeface="メイリオ" panose="020B0604030504040204" pitchFamily="50" charset="-128"/>
              </a:rPr>
              <a:t>年以上</a:t>
            </a:r>
            <a:endParaRPr lang="ja-JP" sz="1200" b="1">
              <a:latin typeface="メイリオ" panose="020B0604030504040204" pitchFamily="50" charset="-128"/>
              <a:ea typeface="メイリオ" panose="020B0604030504040204" pitchFamily="50" charset="-128"/>
            </a:endParaRPr>
          </a:p>
        </c:rich>
      </c:tx>
      <c:layout>
        <c:manualLayout>
          <c:xMode val="edge"/>
          <c:yMode val="edge"/>
          <c:x val="0.38648181712605029"/>
          <c:y val="4.2469178077610917E-3"/>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pieChart>
        <c:varyColors val="1"/>
        <c:ser>
          <c:idx val="0"/>
          <c:order val="0"/>
          <c:tx>
            <c:strRef>
              <c:f>'グラフ(年齢区分）'!$N$24</c:f>
              <c:strCache>
                <c:ptCount val="1"/>
                <c:pt idx="0">
                  <c:v>全体</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87C4-4E19-A588-C1D6E6E8F937}"/>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87C4-4E19-A588-C1D6E6E8F937}"/>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87C4-4E19-A588-C1D6E6E8F937}"/>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87C4-4E19-A588-C1D6E6E8F937}"/>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87C4-4E19-A588-C1D6E6E8F937}"/>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87C4-4E19-A588-C1D6E6E8F937}"/>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87C4-4E19-A588-C1D6E6E8F937}"/>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87C4-4E19-A588-C1D6E6E8F937}"/>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87C4-4E19-A588-C1D6E6E8F937}"/>
              </c:ext>
            </c:extLst>
          </c:dPt>
          <c:dLbls>
            <c:dLbl>
              <c:idx val="0"/>
              <c:layout>
                <c:manualLayout>
                  <c:x val="-0.27836110507870193"/>
                  <c:y val="1.6283553695199838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87C4-4E19-A588-C1D6E6E8F937}"/>
                </c:ext>
              </c:extLst>
            </c:dLbl>
            <c:dLbl>
              <c:idx val="2"/>
              <c:layout>
                <c:manualLayout>
                  <c:x val="0.33990567645036779"/>
                  <c:y val="1.3534110355313458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87C4-4E19-A588-C1D6E6E8F937}"/>
                </c:ext>
              </c:extLst>
            </c:dLbl>
            <c:dLbl>
              <c:idx val="3"/>
              <c:layout>
                <c:manualLayout>
                  <c:x val="0.17455195863993636"/>
                  <c:y val="0.24873225366206869"/>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87C4-4E19-A588-C1D6E6E8F937}"/>
                </c:ext>
              </c:extLst>
            </c:dLbl>
            <c:dLbl>
              <c:idx val="8"/>
              <c:layout>
                <c:manualLayout>
                  <c:x val="-0.32627366487454124"/>
                  <c:y val="0.21771092715444265"/>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87C4-4E19-A588-C1D6E6E8F93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dLblPos val="bestFit"/>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'グラフ(年齢区分）'!$M$25:$M$33</c:f>
              <c:strCache>
                <c:ptCount val="9"/>
                <c:pt idx="0">
                  <c:v>19歳以下</c:v>
                </c:pt>
                <c:pt idx="1">
                  <c:v>20歳代</c:v>
                </c:pt>
                <c:pt idx="2">
                  <c:v>30歳代</c:v>
                </c:pt>
                <c:pt idx="3">
                  <c:v>40歳代</c:v>
                </c:pt>
                <c:pt idx="4">
                  <c:v>50歳代</c:v>
                </c:pt>
                <c:pt idx="5">
                  <c:v>60歳代</c:v>
                </c:pt>
                <c:pt idx="6">
                  <c:v>70歳代</c:v>
                </c:pt>
                <c:pt idx="7">
                  <c:v>80歳代</c:v>
                </c:pt>
                <c:pt idx="8">
                  <c:v>90歳以上</c:v>
                </c:pt>
              </c:strCache>
            </c:strRef>
          </c:cat>
          <c:val>
            <c:numRef>
              <c:f>'グラフ(年齢区分）'!$N$25:$N$33</c:f>
              <c:numCache>
                <c:formatCode>#,##0"人"</c:formatCode>
                <c:ptCount val="9"/>
                <c:pt idx="0">
                  <c:v>3</c:v>
                </c:pt>
                <c:pt idx="1">
                  <c:v>63</c:v>
                </c:pt>
                <c:pt idx="2">
                  <c:v>248</c:v>
                </c:pt>
                <c:pt idx="3">
                  <c:v>775</c:v>
                </c:pt>
                <c:pt idx="4">
                  <c:v>1517</c:v>
                </c:pt>
                <c:pt idx="5">
                  <c:v>1718</c:v>
                </c:pt>
                <c:pt idx="6">
                  <c:v>2479</c:v>
                </c:pt>
                <c:pt idx="7">
                  <c:v>1819</c:v>
                </c:pt>
                <c:pt idx="8">
                  <c:v>440</c:v>
                </c:pt>
              </c:numCache>
            </c:numRef>
          </c:val>
          <c:extLst>
            <c:ext xmlns:c16="http://schemas.microsoft.com/office/drawing/2014/chart" uri="{C3380CC4-5D6E-409C-BE32-E72D297353CC}">
              <c16:uniqueId val="{00000012-87C4-4E19-A588-C1D6E6E8F937}"/>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1</a:t>
            </a:r>
            <a:r>
              <a:rPr lang="ja-JP" altLang="en-US" sz="1200" b="1">
                <a:latin typeface="メイリオ" panose="020B0604030504040204" pitchFamily="50" charset="-128"/>
                <a:ea typeface="メイリオ" panose="020B0604030504040204" pitchFamily="50" charset="-128"/>
              </a:rPr>
              <a:t>年以上＿寛解・院内寛解群</a:t>
            </a:r>
            <a:endParaRPr lang="ja-JP" sz="1200" b="1">
              <a:latin typeface="メイリオ" panose="020B0604030504040204" pitchFamily="50" charset="-128"/>
              <a:ea typeface="メイリオ" panose="020B0604030504040204" pitchFamily="50" charset="-128"/>
            </a:endParaRPr>
          </a:p>
        </c:rich>
      </c:tx>
      <c:layout>
        <c:manualLayout>
          <c:xMode val="edge"/>
          <c:yMode val="edge"/>
          <c:x val="0.14308928157393586"/>
          <c:y val="4.2469178077610917E-3"/>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pieChart>
        <c:varyColors val="1"/>
        <c:ser>
          <c:idx val="2"/>
          <c:order val="0"/>
          <c:tx>
            <c:strRef>
              <c:f>'グラフ(年齢区分）'!$Q$24</c:f>
              <c:strCache>
                <c:ptCount val="1"/>
                <c:pt idx="0">
                  <c:v>寛解院内寛解合計</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87D7-4ED7-B8D5-2FA851AD94E9}"/>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7-251C-4F2A-979C-971E5018C526}"/>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6-251C-4F2A-979C-971E5018C526}"/>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87D7-4ED7-B8D5-2FA851AD94E9}"/>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87D7-4ED7-B8D5-2FA851AD94E9}"/>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87D7-4ED7-B8D5-2FA851AD94E9}"/>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87D7-4ED7-B8D5-2FA851AD94E9}"/>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87D7-4ED7-B8D5-2FA851AD94E9}"/>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5-251C-4F2A-979C-971E5018C526}"/>
              </c:ext>
            </c:extLst>
          </c:dPt>
          <c:dLbls>
            <c:dLbl>
              <c:idx val="0"/>
              <c:layout>
                <c:manualLayout>
                  <c:x val="4.8609290302615543E-2"/>
                  <c:y val="3.1295899340856338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manualLayout>
                      <c:w val="0.16400973287572884"/>
                      <c:h val="0.19374068504064387"/>
                    </c:manualLayout>
                  </c15:layout>
                </c:ext>
                <c:ext xmlns:c16="http://schemas.microsoft.com/office/drawing/2014/chart" uri="{C3380CC4-5D6E-409C-BE32-E72D297353CC}">
                  <c16:uniqueId val="{00000001-87D7-4ED7-B8D5-2FA851AD94E9}"/>
                </c:ext>
              </c:extLst>
            </c:dLbl>
            <c:dLbl>
              <c:idx val="1"/>
              <c:layout>
                <c:manualLayout>
                  <c:x val="0.36627846945923404"/>
                  <c:y val="-1.6694230897177708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7-251C-4F2A-979C-971E5018C526}"/>
                </c:ext>
              </c:extLst>
            </c:dLbl>
            <c:dLbl>
              <c:idx val="2"/>
              <c:layout>
                <c:manualLayout>
                  <c:x val="0.34462212859545499"/>
                  <c:y val="0.13780111402945591"/>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6-251C-4F2A-979C-971E5018C526}"/>
                </c:ext>
              </c:extLst>
            </c:dLbl>
            <c:dLbl>
              <c:idx val="3"/>
              <c:layout>
                <c:manualLayout>
                  <c:x val="0.18769109709184731"/>
                  <c:y val="0.28390358136862903"/>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87D7-4ED7-B8D5-2FA851AD94E9}"/>
                </c:ext>
              </c:extLst>
            </c:dLbl>
            <c:dLbl>
              <c:idx val="8"/>
              <c:layout>
                <c:manualLayout>
                  <c:x val="-0.34032132457659492"/>
                  <c:y val="0.10710738364511815"/>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251C-4F2A-979C-971E5018C52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'グラフ(年齢区分）'!$M$25:$M$33</c:f>
              <c:strCache>
                <c:ptCount val="9"/>
                <c:pt idx="0">
                  <c:v>19歳以下</c:v>
                </c:pt>
                <c:pt idx="1">
                  <c:v>20歳代</c:v>
                </c:pt>
                <c:pt idx="2">
                  <c:v>30歳代</c:v>
                </c:pt>
                <c:pt idx="3">
                  <c:v>40歳代</c:v>
                </c:pt>
                <c:pt idx="4">
                  <c:v>50歳代</c:v>
                </c:pt>
                <c:pt idx="5">
                  <c:v>60歳代</c:v>
                </c:pt>
                <c:pt idx="6">
                  <c:v>70歳代</c:v>
                </c:pt>
                <c:pt idx="7">
                  <c:v>80歳代</c:v>
                </c:pt>
                <c:pt idx="8">
                  <c:v>90歳以上</c:v>
                </c:pt>
              </c:strCache>
            </c:strRef>
          </c:cat>
          <c:val>
            <c:numRef>
              <c:f>'グラフ(年齢区分）'!$Q$25:$Q$33</c:f>
              <c:numCache>
                <c:formatCode>#,##0"人"</c:formatCode>
                <c:ptCount val="9"/>
                <c:pt idx="0">
                  <c:v>0</c:v>
                </c:pt>
                <c:pt idx="1">
                  <c:v>2</c:v>
                </c:pt>
                <c:pt idx="2">
                  <c:v>10</c:v>
                </c:pt>
                <c:pt idx="3">
                  <c:v>57</c:v>
                </c:pt>
                <c:pt idx="4">
                  <c:v>88</c:v>
                </c:pt>
                <c:pt idx="5">
                  <c:v>118</c:v>
                </c:pt>
                <c:pt idx="6">
                  <c:v>169</c:v>
                </c:pt>
                <c:pt idx="7">
                  <c:v>91</c:v>
                </c:pt>
                <c:pt idx="8">
                  <c:v>18</c:v>
                </c:pt>
              </c:numCache>
            </c:numRef>
          </c:val>
          <c:extLst>
            <c:ext xmlns:c16="http://schemas.microsoft.com/office/drawing/2014/chart" uri="{C3380CC4-5D6E-409C-BE32-E72D297353CC}">
              <c16:uniqueId val="{00000014-251C-4F2A-979C-971E5018C526}"/>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65</a:t>
            </a:r>
            <a:r>
              <a:rPr lang="ja-JP" altLang="en-US" sz="1200" b="1">
                <a:latin typeface="メイリオ" panose="020B0604030504040204" pitchFamily="50" charset="-128"/>
                <a:ea typeface="メイリオ" panose="020B0604030504040204" pitchFamily="50" charset="-128"/>
              </a:rPr>
              <a:t>歳以上</a:t>
            </a:r>
            <a:endParaRPr lang="ja-JP" sz="1200" b="1">
              <a:latin typeface="メイリオ" panose="020B0604030504040204" pitchFamily="50" charset="-128"/>
              <a:ea typeface="メイリオ" panose="020B0604030504040204" pitchFamily="50" charset="-128"/>
            </a:endParaRPr>
          </a:p>
        </c:rich>
      </c:tx>
      <c:layout>
        <c:manualLayout>
          <c:xMode val="edge"/>
          <c:yMode val="edge"/>
          <c:x val="0.36990981962620362"/>
          <c:y val="8.4938356155221835E-3"/>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pieChart>
        <c:varyColors val="1"/>
        <c:ser>
          <c:idx val="0"/>
          <c:order val="0"/>
          <c:tx>
            <c:strRef>
              <c:f>'グラフ(年齢区分）'!$N$45</c:f>
              <c:strCache>
                <c:ptCount val="1"/>
                <c:pt idx="0">
                  <c:v>全体</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0ED0-4E11-9694-FEF92E0CA9E5}"/>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0ED0-4E11-9694-FEF92E0CA9E5}"/>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0ED0-4E11-9694-FEF92E0CA9E5}"/>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0ED0-4E11-9694-FEF92E0CA9E5}"/>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0ED0-4E11-9694-FEF92E0CA9E5}"/>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0ED0-4E11-9694-FEF92E0CA9E5}"/>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0ED0-4E11-9694-FEF92E0CA9E5}"/>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0ED0-4E11-9694-FEF92E0CA9E5}"/>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0ED0-4E11-9694-FEF92E0CA9E5}"/>
              </c:ext>
            </c:extLst>
          </c:dPt>
          <c:dLbls>
            <c:dLbl>
              <c:idx val="0"/>
              <c:layout>
                <c:manualLayout>
                  <c:x val="-0.15157701476995589"/>
                  <c:y val="0.1705374925929740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ED0-4E11-9694-FEF92E0CA9E5}"/>
                </c:ext>
              </c:extLst>
            </c:dLbl>
            <c:dLbl>
              <c:idx val="1"/>
              <c:layout>
                <c:manualLayout>
                  <c:x val="-0.20300696937312193"/>
                  <c:y val="-4.8592430989257716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ED0-4E11-9694-FEF92E0CA9E5}"/>
                </c:ext>
              </c:extLst>
            </c:dLbl>
            <c:dLbl>
              <c:idx val="2"/>
              <c:layout>
                <c:manualLayout>
                  <c:x val="-2.4567660073100232E-3"/>
                  <c:y val="-0.15713595888716056"/>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0ED0-4E11-9694-FEF92E0CA9E5}"/>
                </c:ext>
              </c:extLst>
            </c:dLbl>
            <c:dLbl>
              <c:idx val="3"/>
              <c:layout>
                <c:manualLayout>
                  <c:x val="0.17852445283048413"/>
                  <c:y val="-6.311956511561656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0ED0-4E11-9694-FEF92E0CA9E5}"/>
                </c:ext>
              </c:extLst>
            </c:dLbl>
            <c:dLbl>
              <c:idx val="4"/>
              <c:layout>
                <c:manualLayout>
                  <c:x val="0.11267816528414451"/>
                  <c:y val="9.3554917663299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0ED0-4E11-9694-FEF92E0CA9E5}"/>
                </c:ext>
              </c:extLst>
            </c:dLbl>
            <c:dLbl>
              <c:idx val="8"/>
              <c:layout>
                <c:manualLayout>
                  <c:x val="-0.25055522875816993"/>
                  <c:y val="3.3293402777777779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0ED0-4E11-9694-FEF92E0CA9E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'グラフ(年齢区分）'!$M$46:$M$51</c:f>
              <c:strCache>
                <c:ptCount val="6"/>
                <c:pt idx="0">
                  <c:v>65-69歳</c:v>
                </c:pt>
                <c:pt idx="1">
                  <c:v>70-74歳</c:v>
                </c:pt>
                <c:pt idx="2">
                  <c:v>75-79歳</c:v>
                </c:pt>
                <c:pt idx="3">
                  <c:v>80-84歳</c:v>
                </c:pt>
                <c:pt idx="4">
                  <c:v>85-89歳</c:v>
                </c:pt>
                <c:pt idx="5">
                  <c:v>90歳以上</c:v>
                </c:pt>
              </c:strCache>
            </c:strRef>
          </c:cat>
          <c:val>
            <c:numRef>
              <c:f>'グラフ(年齢区分）'!$N$46:$N$51</c:f>
              <c:numCache>
                <c:formatCode>#,###"人"</c:formatCode>
                <c:ptCount val="6"/>
                <c:pt idx="0">
                  <c:v>1408</c:v>
                </c:pt>
                <c:pt idx="1">
                  <c:v>2154</c:v>
                </c:pt>
                <c:pt idx="2">
                  <c:v>1777</c:v>
                </c:pt>
                <c:pt idx="3">
                  <c:v>1780</c:v>
                </c:pt>
                <c:pt idx="4">
                  <c:v>1368</c:v>
                </c:pt>
                <c:pt idx="5">
                  <c:v>708</c:v>
                </c:pt>
              </c:numCache>
            </c:numRef>
          </c:val>
          <c:extLst>
            <c:ext xmlns:c16="http://schemas.microsoft.com/office/drawing/2014/chart" uri="{C3380CC4-5D6E-409C-BE32-E72D297353CC}">
              <c16:uniqueId val="{00000012-0ED0-4E11-9694-FEF92E0CA9E5}"/>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65</a:t>
            </a:r>
            <a:r>
              <a:rPr lang="ja-JP" altLang="en-US" sz="1200" b="1">
                <a:latin typeface="メイリオ" panose="020B0604030504040204" pitchFamily="50" charset="-128"/>
                <a:ea typeface="メイリオ" panose="020B0604030504040204" pitchFamily="50" charset="-128"/>
              </a:rPr>
              <a:t>歳以上＿寛解・院内寛解群</a:t>
            </a:r>
            <a:endParaRPr lang="ja-JP" sz="1200" b="1">
              <a:latin typeface="メイリオ" panose="020B0604030504040204" pitchFamily="50" charset="-128"/>
              <a:ea typeface="メイリオ" panose="020B0604030504040204" pitchFamily="50" charset="-128"/>
            </a:endParaRPr>
          </a:p>
        </c:rich>
      </c:tx>
      <c:layout>
        <c:manualLayout>
          <c:xMode val="edge"/>
          <c:yMode val="edge"/>
          <c:x val="0.159632072694495"/>
          <c:y val="8.4938356155221835E-3"/>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pieChart>
        <c:varyColors val="1"/>
        <c:ser>
          <c:idx val="2"/>
          <c:order val="0"/>
          <c:tx>
            <c:strRef>
              <c:f>'グラフ(年齢区分）'!$O$45</c:f>
              <c:strCache>
                <c:ptCount val="1"/>
                <c:pt idx="0">
                  <c:v>寛解院内寛解</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E2E7-4C5C-AE28-FFF4F4AECDC1}"/>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E2E7-4C5C-AE28-FFF4F4AECDC1}"/>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E2E7-4C5C-AE28-FFF4F4AECDC1}"/>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E2E7-4C5C-AE28-FFF4F4AECDC1}"/>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E2E7-4C5C-AE28-FFF4F4AECDC1}"/>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E2E7-4C5C-AE28-FFF4F4AECDC1}"/>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E2E7-4C5C-AE28-FFF4F4AECDC1}"/>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E2E7-4C5C-AE28-FFF4F4AECDC1}"/>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E2E7-4C5C-AE28-FFF4F4AECDC1}"/>
              </c:ext>
            </c:extLst>
          </c:dPt>
          <c:dLbls>
            <c:dLbl>
              <c:idx val="1"/>
              <c:layout>
                <c:manualLayout>
                  <c:x val="-0.21919198234740911"/>
                  <c:y val="-8.4264868559565859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E2E7-4C5C-AE28-FFF4F4AECDC1}"/>
                </c:ext>
              </c:extLst>
            </c:dLbl>
            <c:dLbl>
              <c:idx val="2"/>
              <c:layout>
                <c:manualLayout>
                  <c:x val="0.15649675787345677"/>
                  <c:y val="-0.17837054792596585"/>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E2E7-4C5C-AE28-FFF4F4AECDC1}"/>
                </c:ext>
              </c:extLst>
            </c:dLbl>
            <c:dLbl>
              <c:idx val="4"/>
              <c:layout>
                <c:manualLayout>
                  <c:x val="-0.13388890276967927"/>
                  <c:y val="0.18741200075786155"/>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E2E7-4C5C-AE28-FFF4F4AECDC1}"/>
                </c:ext>
              </c:extLst>
            </c:dLbl>
            <c:dLbl>
              <c:idx val="8"/>
              <c:layout>
                <c:manualLayout>
                  <c:x val="-0.22945242058808976"/>
                  <c:y val="3.8481088174039363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E2E7-4C5C-AE28-FFF4F4AECDC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'グラフ(年齢区分）'!$M$46:$M$51</c:f>
              <c:strCache>
                <c:ptCount val="6"/>
                <c:pt idx="0">
                  <c:v>65-69歳</c:v>
                </c:pt>
                <c:pt idx="1">
                  <c:v>70-74歳</c:v>
                </c:pt>
                <c:pt idx="2">
                  <c:v>75-79歳</c:v>
                </c:pt>
                <c:pt idx="3">
                  <c:v>80-84歳</c:v>
                </c:pt>
                <c:pt idx="4">
                  <c:v>85-89歳</c:v>
                </c:pt>
                <c:pt idx="5">
                  <c:v>90歳以上</c:v>
                </c:pt>
              </c:strCache>
            </c:strRef>
          </c:cat>
          <c:val>
            <c:numRef>
              <c:f>'グラフ(年齢区分）'!$O$46:$O$51</c:f>
              <c:numCache>
                <c:formatCode>#,###"人"</c:formatCode>
                <c:ptCount val="6"/>
                <c:pt idx="0">
                  <c:v>146</c:v>
                </c:pt>
                <c:pt idx="1">
                  <c:v>216</c:v>
                </c:pt>
                <c:pt idx="2">
                  <c:v>191</c:v>
                </c:pt>
                <c:pt idx="3">
                  <c:v>150</c:v>
                </c:pt>
                <c:pt idx="4">
                  <c:v>98</c:v>
                </c:pt>
                <c:pt idx="5">
                  <c:v>43</c:v>
                </c:pt>
              </c:numCache>
            </c:numRef>
          </c:val>
          <c:extLst>
            <c:ext xmlns:c16="http://schemas.microsoft.com/office/drawing/2014/chart" uri="{C3380CC4-5D6E-409C-BE32-E72D297353CC}">
              <c16:uniqueId val="{00000012-E2E7-4C5C-AE28-FFF4F4AECDC1}"/>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ja-JP" altLang="en-US" sz="1200" b="1">
                <a:latin typeface="メイリオ" panose="020B0604030504040204" pitchFamily="50" charset="-128"/>
                <a:ea typeface="メイリオ" panose="020B0604030504040204" pitchFamily="50" charset="-128"/>
              </a:rPr>
              <a:t>疾患別</a:t>
            </a:r>
            <a:endParaRPr lang="ja-JP" sz="1200" b="1">
              <a:latin typeface="メイリオ" panose="020B0604030504040204" pitchFamily="50" charset="-128"/>
              <a:ea typeface="メイリオ" panose="020B0604030504040204" pitchFamily="50" charset="-128"/>
            </a:endParaRPr>
          </a:p>
        </c:rich>
      </c:tx>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barChart>
        <c:barDir val="bar"/>
        <c:grouping val="clustered"/>
        <c:varyColors val="0"/>
        <c:ser>
          <c:idx val="1"/>
          <c:order val="0"/>
          <c:tx>
            <c:strRef>
              <c:f>'グラフ(疾患名)'!$O$4</c:f>
              <c:strCache>
                <c:ptCount val="1"/>
                <c:pt idx="0">
                  <c:v>人数</c:v>
                </c:pt>
              </c:strCache>
            </c:strRef>
          </c:tx>
          <c:spPr>
            <a:solidFill>
              <a:schemeClr val="accent3">
                <a:lumMod val="40000"/>
                <a:lumOff val="60000"/>
              </a:schemeClr>
            </a:solidFill>
            <a:ln w="9525" cap="flat" cmpd="sng" algn="ctr">
              <a:solidFill>
                <a:schemeClr val="accent3">
                  <a:lumMod val="7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'グラフ(疾患名)'!$T$5:$T$16</c:f>
              <c:strCache>
                <c:ptCount val="12"/>
                <c:pt idx="0">
                  <c:v>F0</c:v>
                </c:pt>
                <c:pt idx="1">
                  <c:v>F1</c:v>
                </c:pt>
                <c:pt idx="2">
                  <c:v>F2</c:v>
                </c:pt>
                <c:pt idx="3">
                  <c:v>F3</c:v>
                </c:pt>
                <c:pt idx="4">
                  <c:v>F4</c:v>
                </c:pt>
                <c:pt idx="5">
                  <c:v>F5</c:v>
                </c:pt>
                <c:pt idx="6">
                  <c:v>F6</c:v>
                </c:pt>
                <c:pt idx="7">
                  <c:v>F7</c:v>
                </c:pt>
                <c:pt idx="8">
                  <c:v>F8</c:v>
                </c:pt>
                <c:pt idx="9">
                  <c:v>F9</c:v>
                </c:pt>
                <c:pt idx="10">
                  <c:v>てんかん</c:v>
                </c:pt>
                <c:pt idx="11">
                  <c:v>その他</c:v>
                </c:pt>
              </c:strCache>
            </c:strRef>
          </c:cat>
          <c:val>
            <c:numRef>
              <c:f>'グラフ(疾患名)'!$O$5:$O$16</c:f>
              <c:numCache>
                <c:formatCode>#,##0"人"</c:formatCode>
                <c:ptCount val="12"/>
                <c:pt idx="0">
                  <c:v>4347</c:v>
                </c:pt>
                <c:pt idx="1">
                  <c:v>830</c:v>
                </c:pt>
                <c:pt idx="2">
                  <c:v>7586</c:v>
                </c:pt>
                <c:pt idx="3">
                  <c:v>1529</c:v>
                </c:pt>
                <c:pt idx="4">
                  <c:v>248</c:v>
                </c:pt>
                <c:pt idx="5">
                  <c:v>49</c:v>
                </c:pt>
                <c:pt idx="6">
                  <c:v>50</c:v>
                </c:pt>
                <c:pt idx="7">
                  <c:v>281</c:v>
                </c:pt>
                <c:pt idx="8">
                  <c:v>124</c:v>
                </c:pt>
                <c:pt idx="9">
                  <c:v>40</c:v>
                </c:pt>
                <c:pt idx="10">
                  <c:v>58</c:v>
                </c:pt>
                <c:pt idx="11">
                  <c:v>111</c:v>
                </c:pt>
              </c:numCache>
            </c:numRef>
          </c:val>
          <c:extLst>
            <c:ext xmlns:c16="http://schemas.microsoft.com/office/drawing/2014/chart" uri="{C3380CC4-5D6E-409C-BE32-E72D297353CC}">
              <c16:uniqueId val="{00000014-4158-41FF-AD15-82CE2CDF7B43}"/>
            </c:ext>
          </c:extLst>
        </c:ser>
        <c:dLbls>
          <c:showLegendKey val="0"/>
          <c:showVal val="0"/>
          <c:showCatName val="0"/>
          <c:showSerName val="0"/>
          <c:showPercent val="0"/>
          <c:showBubbleSize val="0"/>
        </c:dLbls>
        <c:gapWidth val="100"/>
        <c:axId val="699428592"/>
        <c:axId val="699420688"/>
      </c:barChart>
      <c:valAx>
        <c:axId val="699420688"/>
        <c:scaling>
          <c:orientation val="minMax"/>
        </c:scaling>
        <c:delete val="0"/>
        <c:axPos val="t"/>
        <c:majorGridlines>
          <c:spPr>
            <a:ln w="9525" cap="flat" cmpd="sng" algn="ctr">
              <a:solidFill>
                <a:schemeClr val="tx1">
                  <a:lumMod val="15000"/>
                  <a:lumOff val="85000"/>
                </a:schemeClr>
              </a:solidFill>
              <a:round/>
            </a:ln>
            <a:effectLst/>
          </c:spPr>
        </c:majorGridlines>
        <c:numFmt formatCode="#,##0&quot;人&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99428592"/>
        <c:crosses val="autoZero"/>
        <c:crossBetween val="between"/>
      </c:valAx>
      <c:catAx>
        <c:axId val="69942859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9942068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ja-JP" altLang="en-US" sz="1200" b="1">
                <a:latin typeface="メイリオ" panose="020B0604030504040204" pitchFamily="50" charset="-128"/>
                <a:ea typeface="メイリオ" panose="020B0604030504040204" pitchFamily="50" charset="-128"/>
              </a:rPr>
              <a:t>疾患別＿寛解・院内寛解群</a:t>
            </a:r>
            <a:endParaRPr lang="ja-JP" sz="1200" b="1">
              <a:latin typeface="メイリオ" panose="020B0604030504040204" pitchFamily="50" charset="-128"/>
              <a:ea typeface="メイリオ" panose="020B0604030504040204" pitchFamily="50" charset="-128"/>
            </a:endParaRPr>
          </a:p>
        </c:rich>
      </c:tx>
      <c:layout>
        <c:manualLayout>
          <c:xMode val="edge"/>
          <c:yMode val="edge"/>
          <c:x val="0.1641813402526488"/>
          <c:y val="1.2740753423283275E-2"/>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barChart>
        <c:barDir val="bar"/>
        <c:grouping val="clustered"/>
        <c:varyColors val="0"/>
        <c:ser>
          <c:idx val="1"/>
          <c:order val="0"/>
          <c:tx>
            <c:strRef>
              <c:f>'グラフ(疾患名)'!$R$4</c:f>
              <c:strCache>
                <c:ptCount val="1"/>
                <c:pt idx="0">
                  <c:v>計</c:v>
                </c:pt>
              </c:strCache>
            </c:strRef>
          </c:tx>
          <c:spPr>
            <a:solidFill>
              <a:schemeClr val="accent3">
                <a:lumMod val="40000"/>
                <a:lumOff val="60000"/>
              </a:schemeClr>
            </a:solidFill>
            <a:ln w="9525" cap="flat" cmpd="sng" algn="ctr">
              <a:solidFill>
                <a:schemeClr val="accent3">
                  <a:lumMod val="7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'グラフ(疾患名)'!$T$5:$T$16</c:f>
              <c:strCache>
                <c:ptCount val="12"/>
                <c:pt idx="0">
                  <c:v>F0</c:v>
                </c:pt>
                <c:pt idx="1">
                  <c:v>F1</c:v>
                </c:pt>
                <c:pt idx="2">
                  <c:v>F2</c:v>
                </c:pt>
                <c:pt idx="3">
                  <c:v>F3</c:v>
                </c:pt>
                <c:pt idx="4">
                  <c:v>F4</c:v>
                </c:pt>
                <c:pt idx="5">
                  <c:v>F5</c:v>
                </c:pt>
                <c:pt idx="6">
                  <c:v>F6</c:v>
                </c:pt>
                <c:pt idx="7">
                  <c:v>F7</c:v>
                </c:pt>
                <c:pt idx="8">
                  <c:v>F8</c:v>
                </c:pt>
                <c:pt idx="9">
                  <c:v>F9</c:v>
                </c:pt>
                <c:pt idx="10">
                  <c:v>てんかん</c:v>
                </c:pt>
                <c:pt idx="11">
                  <c:v>その他</c:v>
                </c:pt>
              </c:strCache>
            </c:strRef>
          </c:cat>
          <c:val>
            <c:numRef>
              <c:f>'グラフ(疾患名)'!$R$5:$R$16</c:f>
              <c:numCache>
                <c:formatCode>#,##0"人"</c:formatCode>
                <c:ptCount val="12"/>
                <c:pt idx="0">
                  <c:v>298</c:v>
                </c:pt>
                <c:pt idx="1">
                  <c:v>250</c:v>
                </c:pt>
                <c:pt idx="2">
                  <c:v>707</c:v>
                </c:pt>
                <c:pt idx="3">
                  <c:v>331</c:v>
                </c:pt>
                <c:pt idx="4">
                  <c:v>78</c:v>
                </c:pt>
                <c:pt idx="5">
                  <c:v>12</c:v>
                </c:pt>
                <c:pt idx="6">
                  <c:v>16</c:v>
                </c:pt>
                <c:pt idx="7">
                  <c:v>24</c:v>
                </c:pt>
                <c:pt idx="8">
                  <c:v>19</c:v>
                </c:pt>
                <c:pt idx="9">
                  <c:v>7</c:v>
                </c:pt>
                <c:pt idx="10">
                  <c:v>7</c:v>
                </c:pt>
                <c:pt idx="11">
                  <c:v>17</c:v>
                </c:pt>
              </c:numCache>
            </c:numRef>
          </c:val>
          <c:extLst>
            <c:ext xmlns:c16="http://schemas.microsoft.com/office/drawing/2014/chart" uri="{C3380CC4-5D6E-409C-BE32-E72D297353CC}">
              <c16:uniqueId val="{00000014-0450-4C83-A419-A907C4B564A4}"/>
            </c:ext>
          </c:extLst>
        </c:ser>
        <c:dLbls>
          <c:showLegendKey val="0"/>
          <c:showVal val="0"/>
          <c:showCatName val="0"/>
          <c:showSerName val="0"/>
          <c:showPercent val="0"/>
          <c:showBubbleSize val="0"/>
        </c:dLbls>
        <c:gapWidth val="100"/>
        <c:axId val="630609584"/>
        <c:axId val="630607088"/>
      </c:barChart>
      <c:valAx>
        <c:axId val="630607088"/>
        <c:scaling>
          <c:orientation val="minMax"/>
        </c:scaling>
        <c:delete val="0"/>
        <c:axPos val="t"/>
        <c:majorGridlines>
          <c:spPr>
            <a:ln w="9525" cap="flat" cmpd="sng" algn="ctr">
              <a:solidFill>
                <a:schemeClr val="tx1">
                  <a:lumMod val="15000"/>
                  <a:lumOff val="85000"/>
                </a:schemeClr>
              </a:solidFill>
              <a:round/>
            </a:ln>
            <a:effectLst/>
          </c:spPr>
        </c:majorGridlines>
        <c:numFmt formatCode="#,##0&quot;人&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0609584"/>
        <c:crosses val="autoZero"/>
        <c:crossBetween val="between"/>
      </c:valAx>
      <c:catAx>
        <c:axId val="63060958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060708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1</a:t>
            </a:r>
            <a:r>
              <a:rPr lang="ja-JP" altLang="en-US" sz="1200" b="1">
                <a:latin typeface="メイリオ" panose="020B0604030504040204" pitchFamily="50" charset="-128"/>
                <a:ea typeface="メイリオ" panose="020B0604030504040204" pitchFamily="50" charset="-128"/>
              </a:rPr>
              <a:t>年以上</a:t>
            </a:r>
            <a:endParaRPr lang="ja-JP" sz="1200" b="1">
              <a:latin typeface="メイリオ" panose="020B0604030504040204" pitchFamily="50" charset="-128"/>
              <a:ea typeface="メイリオ" panose="020B0604030504040204" pitchFamily="50" charset="-128"/>
            </a:endParaRPr>
          </a:p>
        </c:rich>
      </c:tx>
      <c:layout>
        <c:manualLayout>
          <c:xMode val="edge"/>
          <c:yMode val="edge"/>
          <c:x val="0.38648181712605029"/>
          <c:y val="4.2469178077610917E-3"/>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barChart>
        <c:barDir val="bar"/>
        <c:grouping val="clustered"/>
        <c:varyColors val="0"/>
        <c:ser>
          <c:idx val="0"/>
          <c:order val="0"/>
          <c:tx>
            <c:strRef>
              <c:f>'グラフ(疾患名)'!$O$23</c:f>
              <c:strCache>
                <c:ptCount val="1"/>
                <c:pt idx="0">
                  <c:v>人数</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Pt>
            <c:idx val="0"/>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4173-4866-8F21-C79DD1F99DAE}"/>
              </c:ext>
            </c:extLst>
          </c:dPt>
          <c:dPt>
            <c:idx val="1"/>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4173-4866-8F21-C79DD1F99DAE}"/>
              </c:ext>
            </c:extLst>
          </c:dPt>
          <c:dPt>
            <c:idx val="2"/>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4173-4866-8F21-C79DD1F99DAE}"/>
              </c:ext>
            </c:extLst>
          </c:dPt>
          <c:dPt>
            <c:idx val="3"/>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4173-4866-8F21-C79DD1F99DAE}"/>
              </c:ext>
            </c:extLst>
          </c:dPt>
          <c:dPt>
            <c:idx val="4"/>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4173-4866-8F21-C79DD1F99DAE}"/>
              </c:ext>
            </c:extLst>
          </c:dPt>
          <c:dPt>
            <c:idx val="5"/>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4173-4866-8F21-C79DD1F99DAE}"/>
              </c:ext>
            </c:extLst>
          </c:dPt>
          <c:dPt>
            <c:idx val="6"/>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4173-4866-8F21-C79DD1F99DAE}"/>
              </c:ext>
            </c:extLst>
          </c:dPt>
          <c:dPt>
            <c:idx val="7"/>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4173-4866-8F21-C79DD1F99DAE}"/>
              </c:ext>
            </c:extLst>
          </c:dPt>
          <c:dPt>
            <c:idx val="8"/>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4173-4866-8F21-C79DD1F99DAE}"/>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'グラフ(疾患名)'!$T$5:$T$16</c:f>
              <c:strCache>
                <c:ptCount val="12"/>
                <c:pt idx="0">
                  <c:v>F0</c:v>
                </c:pt>
                <c:pt idx="1">
                  <c:v>F1</c:v>
                </c:pt>
                <c:pt idx="2">
                  <c:v>F2</c:v>
                </c:pt>
                <c:pt idx="3">
                  <c:v>F3</c:v>
                </c:pt>
                <c:pt idx="4">
                  <c:v>F4</c:v>
                </c:pt>
                <c:pt idx="5">
                  <c:v>F5</c:v>
                </c:pt>
                <c:pt idx="6">
                  <c:v>F6</c:v>
                </c:pt>
                <c:pt idx="7">
                  <c:v>F7</c:v>
                </c:pt>
                <c:pt idx="8">
                  <c:v>F8</c:v>
                </c:pt>
                <c:pt idx="9">
                  <c:v>F9</c:v>
                </c:pt>
                <c:pt idx="10">
                  <c:v>てんかん</c:v>
                </c:pt>
                <c:pt idx="11">
                  <c:v>その他</c:v>
                </c:pt>
              </c:strCache>
            </c:strRef>
          </c:cat>
          <c:val>
            <c:numRef>
              <c:f>'グラフ(疾患名)'!$O$24:$O$35</c:f>
              <c:numCache>
                <c:formatCode>#,##0"人"</c:formatCode>
                <c:ptCount val="12"/>
                <c:pt idx="0">
                  <c:v>2224</c:v>
                </c:pt>
                <c:pt idx="1">
                  <c:v>333</c:v>
                </c:pt>
                <c:pt idx="2">
                  <c:v>5487</c:v>
                </c:pt>
                <c:pt idx="3">
                  <c:v>623</c:v>
                </c:pt>
                <c:pt idx="4">
                  <c:v>85</c:v>
                </c:pt>
                <c:pt idx="5">
                  <c:v>9</c:v>
                </c:pt>
                <c:pt idx="6">
                  <c:v>16</c:v>
                </c:pt>
                <c:pt idx="7">
                  <c:v>154</c:v>
                </c:pt>
                <c:pt idx="8">
                  <c:v>36</c:v>
                </c:pt>
                <c:pt idx="9">
                  <c:v>7</c:v>
                </c:pt>
                <c:pt idx="10">
                  <c:v>37</c:v>
                </c:pt>
                <c:pt idx="11">
                  <c:v>51</c:v>
                </c:pt>
              </c:numCache>
            </c:numRef>
          </c:val>
          <c:extLst>
            <c:ext xmlns:c16="http://schemas.microsoft.com/office/drawing/2014/chart" uri="{C3380CC4-5D6E-409C-BE32-E72D297353CC}">
              <c16:uniqueId val="{00000012-4173-4866-8F21-C79DD1F99DAE}"/>
            </c:ext>
          </c:extLst>
        </c:ser>
        <c:dLbls>
          <c:showLegendKey val="0"/>
          <c:showVal val="0"/>
          <c:showCatName val="0"/>
          <c:showSerName val="0"/>
          <c:showPercent val="0"/>
          <c:showBubbleSize val="0"/>
        </c:dLbls>
        <c:gapWidth val="100"/>
        <c:axId val="630611664"/>
        <c:axId val="630606256"/>
      </c:barChart>
      <c:valAx>
        <c:axId val="630606256"/>
        <c:scaling>
          <c:orientation val="minMax"/>
        </c:scaling>
        <c:delete val="0"/>
        <c:axPos val="t"/>
        <c:majorGridlines>
          <c:spPr>
            <a:ln w="9525" cap="flat" cmpd="sng" algn="ctr">
              <a:solidFill>
                <a:schemeClr val="tx1">
                  <a:lumMod val="15000"/>
                  <a:lumOff val="85000"/>
                </a:schemeClr>
              </a:solidFill>
              <a:round/>
            </a:ln>
            <a:effectLst/>
          </c:spPr>
        </c:majorGridlines>
        <c:numFmt formatCode="#,##0&quot;人&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0611664"/>
        <c:crosses val="autoZero"/>
        <c:crossBetween val="between"/>
      </c:valAx>
      <c:catAx>
        <c:axId val="63061166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060625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withinLinearReversed" id="25">
  <a:schemeClr val="accent5"/>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33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39.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43.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257175</xdr:colOff>
          <xdr:row>1</xdr:row>
          <xdr:rowOff>238125</xdr:rowOff>
        </xdr:from>
        <xdr:to>
          <xdr:col>18</xdr:col>
          <xdr:colOff>476250</xdr:colOff>
          <xdr:row>3</xdr:row>
          <xdr:rowOff>161925</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371475</xdr:colOff>
          <xdr:row>1</xdr:row>
          <xdr:rowOff>114300</xdr:rowOff>
        </xdr:from>
        <xdr:to>
          <xdr:col>5</xdr:col>
          <xdr:colOff>57150</xdr:colOff>
          <xdr:row>3</xdr:row>
          <xdr:rowOff>19050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0</xdr:colOff>
          <xdr:row>3</xdr:row>
          <xdr:rowOff>190500</xdr:rowOff>
        </xdr:from>
        <xdr:to>
          <xdr:col>11</xdr:col>
          <xdr:colOff>2105025</xdr:colOff>
          <xdr:row>5</xdr:row>
          <xdr:rowOff>200025</xdr:rowOff>
        </xdr:to>
        <xdr:sp macro="" textlink="">
          <xdr:nvSpPr>
            <xdr:cNvPr id="16385" name="Button 1" hidden="1">
              <a:extLst>
                <a:ext uri="{63B3BB69-23CF-44E3-9099-C40C66FF867C}">
                  <a14:compatExt spid="_x0000_s16385"/>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2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533400</xdr:colOff>
          <xdr:row>2</xdr:row>
          <xdr:rowOff>76200</xdr:rowOff>
        </xdr:from>
        <xdr:to>
          <xdr:col>16</xdr:col>
          <xdr:colOff>561975</xdr:colOff>
          <xdr:row>4</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2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628650</xdr:colOff>
          <xdr:row>3</xdr:row>
          <xdr:rowOff>47625</xdr:rowOff>
        </xdr:from>
        <xdr:to>
          <xdr:col>9</xdr:col>
          <xdr:colOff>409575</xdr:colOff>
          <xdr:row>5</xdr:row>
          <xdr:rowOff>47625</xdr:rowOff>
        </xdr:to>
        <xdr:sp macro="" textlink="">
          <xdr:nvSpPr>
            <xdr:cNvPr id="18433" name="Button 1" hidden="1">
              <a:extLst>
                <a:ext uri="{63B3BB69-23CF-44E3-9099-C40C66FF867C}">
                  <a14:compatExt spid="_x0000_s18433"/>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552450</xdr:colOff>
          <xdr:row>4</xdr:row>
          <xdr:rowOff>19050</xdr:rowOff>
        </xdr:from>
        <xdr:to>
          <xdr:col>13</xdr:col>
          <xdr:colOff>533400</xdr:colOff>
          <xdr:row>5</xdr:row>
          <xdr:rowOff>228600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257175</xdr:colOff>
          <xdr:row>3</xdr:row>
          <xdr:rowOff>85725</xdr:rowOff>
        </xdr:from>
        <xdr:to>
          <xdr:col>15</xdr:col>
          <xdr:colOff>561975</xdr:colOff>
          <xdr:row>4</xdr:row>
          <xdr:rowOff>200025</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371475</xdr:colOff>
          <xdr:row>2</xdr:row>
          <xdr:rowOff>228600</xdr:rowOff>
        </xdr:from>
        <xdr:to>
          <xdr:col>8</xdr:col>
          <xdr:colOff>47625</xdr:colOff>
          <xdr:row>5</xdr:row>
          <xdr:rowOff>0</xdr:rowOff>
        </xdr:to>
        <xdr:sp macro="" textlink="">
          <xdr:nvSpPr>
            <xdr:cNvPr id="21505" name="Button 1" hidden="1">
              <a:extLst>
                <a:ext uri="{63B3BB69-23CF-44E3-9099-C40C66FF867C}">
                  <a14:compatExt spid="_x0000_s21505"/>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3</xdr:row>
          <xdr:rowOff>9525</xdr:rowOff>
        </xdr:from>
        <xdr:to>
          <xdr:col>13</xdr:col>
          <xdr:colOff>304800</xdr:colOff>
          <xdr:row>4</xdr:row>
          <xdr:rowOff>276225</xdr:rowOff>
        </xdr:to>
        <xdr:sp macro="" textlink="">
          <xdr:nvSpPr>
            <xdr:cNvPr id="22529" name="Button 1" hidden="1">
              <a:extLst>
                <a:ext uri="{63B3BB69-23CF-44E3-9099-C40C66FF867C}">
                  <a14:compatExt spid="_x0000_s22529"/>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133350</xdr:colOff>
          <xdr:row>2</xdr:row>
          <xdr:rowOff>9525</xdr:rowOff>
        </xdr:from>
        <xdr:to>
          <xdr:col>12</xdr:col>
          <xdr:colOff>9525</xdr:colOff>
          <xdr:row>3</xdr:row>
          <xdr:rowOff>285750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409575</xdr:colOff>
          <xdr:row>3</xdr:row>
          <xdr:rowOff>57150</xdr:rowOff>
        </xdr:from>
        <xdr:to>
          <xdr:col>31</xdr:col>
          <xdr:colOff>142875</xdr:colOff>
          <xdr:row>4</xdr:row>
          <xdr:rowOff>57150</xdr:rowOff>
        </xdr:to>
        <xdr:sp macro="" textlink="">
          <xdr:nvSpPr>
            <xdr:cNvPr id="24578" name="Button 2" hidden="1">
              <a:extLst>
                <a:ext uri="{63B3BB69-23CF-44E3-9099-C40C66FF867C}">
                  <a14:compatExt spid="_x0000_s24578"/>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533400</xdr:colOff>
          <xdr:row>2</xdr:row>
          <xdr:rowOff>152400</xdr:rowOff>
        </xdr:from>
        <xdr:to>
          <xdr:col>13</xdr:col>
          <xdr:colOff>285750</xdr:colOff>
          <xdr:row>5</xdr:row>
          <xdr:rowOff>9525</xdr:rowOff>
        </xdr:to>
        <xdr:sp macro="" textlink="">
          <xdr:nvSpPr>
            <xdr:cNvPr id="7169" name="Button 1" hidden="1">
              <a:extLst>
                <a:ext uri="{63B3BB69-23CF-44E3-9099-C40C66FF867C}">
                  <a14:compatExt spid="_x0000_s7169"/>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581025</xdr:colOff>
          <xdr:row>3</xdr:row>
          <xdr:rowOff>285750</xdr:rowOff>
        </xdr:from>
        <xdr:to>
          <xdr:col>32</xdr:col>
          <xdr:colOff>85725</xdr:colOff>
          <xdr:row>4</xdr:row>
          <xdr:rowOff>171450</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31</xdr:col>
          <xdr:colOff>314325</xdr:colOff>
          <xdr:row>0</xdr:row>
          <xdr:rowOff>66675</xdr:rowOff>
        </xdr:from>
        <xdr:to>
          <xdr:col>33</xdr:col>
          <xdr:colOff>333375</xdr:colOff>
          <xdr:row>2</xdr:row>
          <xdr:rowOff>123825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31</xdr:col>
          <xdr:colOff>438150</xdr:colOff>
          <xdr:row>3</xdr:row>
          <xdr:rowOff>0</xdr:rowOff>
        </xdr:from>
        <xdr:to>
          <xdr:col>34</xdr:col>
          <xdr:colOff>266700</xdr:colOff>
          <xdr:row>5</xdr:row>
          <xdr:rowOff>57150</xdr:rowOff>
        </xdr:to>
        <xdr:sp macro="" textlink="">
          <xdr:nvSpPr>
            <xdr:cNvPr id="27649" name="Button 1" hidden="1">
              <a:extLst>
                <a:ext uri="{63B3BB69-23CF-44E3-9099-C40C66FF867C}">
                  <a14:compatExt spid="_x0000_s27649"/>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31</xdr:col>
          <xdr:colOff>447675</xdr:colOff>
          <xdr:row>3</xdr:row>
          <xdr:rowOff>180975</xdr:rowOff>
        </xdr:from>
        <xdr:to>
          <xdr:col>34</xdr:col>
          <xdr:colOff>333375</xdr:colOff>
          <xdr:row>6</xdr:row>
          <xdr:rowOff>0</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31</xdr:col>
          <xdr:colOff>361950</xdr:colOff>
          <xdr:row>2</xdr:row>
          <xdr:rowOff>180975</xdr:rowOff>
        </xdr:from>
        <xdr:to>
          <xdr:col>34</xdr:col>
          <xdr:colOff>504825</xdr:colOff>
          <xdr:row>5</xdr:row>
          <xdr:rowOff>38100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32</xdr:col>
          <xdr:colOff>76200</xdr:colOff>
          <xdr:row>2</xdr:row>
          <xdr:rowOff>219075</xdr:rowOff>
        </xdr:from>
        <xdr:to>
          <xdr:col>34</xdr:col>
          <xdr:colOff>19050</xdr:colOff>
          <xdr:row>5</xdr:row>
          <xdr:rowOff>95250</xdr:rowOff>
        </xdr:to>
        <xdr:sp macro="" textlink="">
          <xdr:nvSpPr>
            <xdr:cNvPr id="36865" name="Button 1" hidden="1">
              <a:extLst>
                <a:ext uri="{63B3BB69-23CF-44E3-9099-C40C66FF867C}">
                  <a14:compatExt spid="_x0000_s3686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データ削除</a:t>
              </a:r>
            </a:p>
          </xdr:txBody>
        </xdr:sp>
        <xdr:clientData fPrintsWithSheet="0"/>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31</xdr:col>
          <xdr:colOff>600075</xdr:colOff>
          <xdr:row>3</xdr:row>
          <xdr:rowOff>38100</xdr:rowOff>
        </xdr:from>
        <xdr:to>
          <xdr:col>33</xdr:col>
          <xdr:colOff>257175</xdr:colOff>
          <xdr:row>5</xdr:row>
          <xdr:rowOff>47625</xdr:rowOff>
        </xdr:to>
        <xdr:sp macro="" textlink="">
          <xdr:nvSpPr>
            <xdr:cNvPr id="37889" name="Button 1" hidden="1">
              <a:extLst>
                <a:ext uri="{63B3BB69-23CF-44E3-9099-C40C66FF867C}">
                  <a14:compatExt spid="_x0000_s3788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データ削除</a:t>
              </a:r>
            </a:p>
          </xdr:txBody>
        </xdr:sp>
        <xdr:clientData fPrintsWithSheet="0"/>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31</xdr:col>
          <xdr:colOff>552450</xdr:colOff>
          <xdr:row>4</xdr:row>
          <xdr:rowOff>95250</xdr:rowOff>
        </xdr:from>
        <xdr:to>
          <xdr:col>32</xdr:col>
          <xdr:colOff>1019175</xdr:colOff>
          <xdr:row>6</xdr:row>
          <xdr:rowOff>200025</xdr:rowOff>
        </xdr:to>
        <xdr:sp macro="" textlink="">
          <xdr:nvSpPr>
            <xdr:cNvPr id="38913" name="Button 1" hidden="1">
              <a:extLst>
                <a:ext uri="{63B3BB69-23CF-44E3-9099-C40C66FF867C}">
                  <a14:compatExt spid="_x0000_s3891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データ削除</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190500</xdr:colOff>
          <xdr:row>49</xdr:row>
          <xdr:rowOff>28575</xdr:rowOff>
        </xdr:from>
        <xdr:to>
          <xdr:col>22</xdr:col>
          <xdr:colOff>733425</xdr:colOff>
          <xdr:row>52</xdr:row>
          <xdr:rowOff>28575</xdr:rowOff>
        </xdr:to>
        <xdr:sp macro="" textlink="">
          <xdr:nvSpPr>
            <xdr:cNvPr id="39937" name="Button 1" hidden="1">
              <a:extLst>
                <a:ext uri="{63B3BB69-23CF-44E3-9099-C40C66FF867C}">
                  <a14:compatExt spid="_x0000_s3993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データ削除</a:t>
              </a:r>
            </a:p>
          </xdr:txBody>
        </xdr:sp>
        <xdr:clientData fPrintsWithSheet="0"/>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38100</xdr:colOff>
          <xdr:row>16</xdr:row>
          <xdr:rowOff>104775</xdr:rowOff>
        </xdr:from>
        <xdr:to>
          <xdr:col>18</xdr:col>
          <xdr:colOff>247650</xdr:colOff>
          <xdr:row>18</xdr:row>
          <xdr:rowOff>161925</xdr:rowOff>
        </xdr:to>
        <xdr:sp macro="" textlink="">
          <xdr:nvSpPr>
            <xdr:cNvPr id="40961" name="Button 1" hidden="1">
              <a:extLst>
                <a:ext uri="{63B3BB69-23CF-44E3-9099-C40C66FF867C}">
                  <a14:compatExt spid="_x0000_s4096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データ削除</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133350</xdr:colOff>
          <xdr:row>22</xdr:row>
          <xdr:rowOff>28575</xdr:rowOff>
        </xdr:from>
        <xdr:to>
          <xdr:col>11</xdr:col>
          <xdr:colOff>85725</xdr:colOff>
          <xdr:row>24</xdr:row>
          <xdr:rowOff>76200</xdr:rowOff>
        </xdr:to>
        <xdr:sp macro="" textlink="">
          <xdr:nvSpPr>
            <xdr:cNvPr id="8193" name="Button 1" hidden="1">
              <a:extLst>
                <a:ext uri="{63B3BB69-23CF-44E3-9099-C40C66FF867C}">
                  <a14:compatExt spid="_x0000_s8193"/>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31</xdr:col>
          <xdr:colOff>466725</xdr:colOff>
          <xdr:row>1</xdr:row>
          <xdr:rowOff>190500</xdr:rowOff>
        </xdr:from>
        <xdr:to>
          <xdr:col>35</xdr:col>
          <xdr:colOff>57150</xdr:colOff>
          <xdr:row>4</xdr:row>
          <xdr:rowOff>95250</xdr:rowOff>
        </xdr:to>
        <xdr:sp macro="" textlink="">
          <xdr:nvSpPr>
            <xdr:cNvPr id="41985" name="Button 1" hidden="1">
              <a:extLst>
                <a:ext uri="{63B3BB69-23CF-44E3-9099-C40C66FF867C}">
                  <a14:compatExt spid="_x0000_s4198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データ削除</a:t>
              </a:r>
            </a:p>
          </xdr:txBody>
        </xdr:sp>
        <xdr:clientData fPrintsWithSheet="0"/>
      </xdr:twoCellAnchor>
    </mc:Choice>
    <mc:Fallback/>
  </mc:AlternateContent>
</xdr:wsDr>
</file>

<file path=xl/drawings/drawing3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590550</xdr:colOff>
          <xdr:row>25</xdr:row>
          <xdr:rowOff>123825</xdr:rowOff>
        </xdr:from>
        <xdr:to>
          <xdr:col>15</xdr:col>
          <xdr:colOff>447675</xdr:colOff>
          <xdr:row>27</xdr:row>
          <xdr:rowOff>142875</xdr:rowOff>
        </xdr:to>
        <xdr:sp macro="" textlink="">
          <xdr:nvSpPr>
            <xdr:cNvPr id="43010" name="Button 2" hidden="1">
              <a:extLst>
                <a:ext uri="{63B3BB69-23CF-44E3-9099-C40C66FF867C}">
                  <a14:compatExt spid="_x0000_s4301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データ削除</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180975</xdr:colOff>
          <xdr:row>13</xdr:row>
          <xdr:rowOff>114300</xdr:rowOff>
        </xdr:from>
        <xdr:to>
          <xdr:col>15</xdr:col>
          <xdr:colOff>447675</xdr:colOff>
          <xdr:row>16</xdr:row>
          <xdr:rowOff>0</xdr:rowOff>
        </xdr:to>
        <xdr:sp macro="" textlink="">
          <xdr:nvSpPr>
            <xdr:cNvPr id="44033" name="Button 1" hidden="1">
              <a:extLst>
                <a:ext uri="{63B3BB69-23CF-44E3-9099-C40C66FF867C}">
                  <a14:compatExt spid="_x0000_s4403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データ削除</a:t>
              </a:r>
            </a:p>
          </xdr:txBody>
        </xdr:sp>
        <xdr:clientData fPrintsWithSheet="0"/>
      </xdr:twoCellAnchor>
    </mc:Choice>
    <mc:Fallback/>
  </mc:AlternateContent>
</xdr:wsDr>
</file>

<file path=xl/drawings/drawing3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66675</xdr:colOff>
          <xdr:row>33</xdr:row>
          <xdr:rowOff>38100</xdr:rowOff>
        </xdr:from>
        <xdr:to>
          <xdr:col>15</xdr:col>
          <xdr:colOff>276225</xdr:colOff>
          <xdr:row>35</xdr:row>
          <xdr:rowOff>200025</xdr:rowOff>
        </xdr:to>
        <xdr:sp macro="" textlink="">
          <xdr:nvSpPr>
            <xdr:cNvPr id="45057" name="Button 1" hidden="1">
              <a:extLst>
                <a:ext uri="{63B3BB69-23CF-44E3-9099-C40C66FF867C}">
                  <a14:compatExt spid="_x0000_s4505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データ削除</a:t>
              </a:r>
            </a:p>
          </xdr:txBody>
        </xdr:sp>
        <xdr:clientData fPrintsWithSheet="0"/>
      </xdr:twoCellAnchor>
    </mc:Choice>
    <mc:Fallback/>
  </mc:AlternateContent>
</xdr:wsDr>
</file>

<file path=xl/drawings/drawing3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533400</xdr:colOff>
          <xdr:row>43</xdr:row>
          <xdr:rowOff>228600</xdr:rowOff>
        </xdr:from>
        <xdr:to>
          <xdr:col>14</xdr:col>
          <xdr:colOff>514350</xdr:colOff>
          <xdr:row>46</xdr:row>
          <xdr:rowOff>114300</xdr:rowOff>
        </xdr:to>
        <xdr:sp macro="" textlink="">
          <xdr:nvSpPr>
            <xdr:cNvPr id="46081" name="Button 1" hidden="1">
              <a:extLst>
                <a:ext uri="{63B3BB69-23CF-44E3-9099-C40C66FF867C}">
                  <a14:compatExt spid="_x0000_s4608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データ削除</a:t>
              </a:r>
            </a:p>
          </xdr:txBody>
        </xdr:sp>
        <xdr:clientData fPrintsWithSheet="0"/>
      </xdr:twoCellAnchor>
    </mc:Choice>
    <mc:Fallback/>
  </mc:AlternateContent>
</xdr:wsDr>
</file>

<file path=xl/drawings/drawing3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123825</xdr:colOff>
          <xdr:row>15</xdr:row>
          <xdr:rowOff>171450</xdr:rowOff>
        </xdr:from>
        <xdr:to>
          <xdr:col>15</xdr:col>
          <xdr:colOff>314325</xdr:colOff>
          <xdr:row>18</xdr:row>
          <xdr:rowOff>66675</xdr:rowOff>
        </xdr:to>
        <xdr:sp macro="" textlink="">
          <xdr:nvSpPr>
            <xdr:cNvPr id="47105" name="Button 1" hidden="1">
              <a:extLst>
                <a:ext uri="{63B3BB69-23CF-44E3-9099-C40C66FF867C}">
                  <a14:compatExt spid="_x0000_s4710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データ削除</a:t>
              </a:r>
            </a:p>
          </xdr:txBody>
        </xdr:sp>
        <xdr:clientData fPrintsWithSheet="0"/>
      </xdr:twoCellAnchor>
    </mc:Choice>
    <mc:Fallback/>
  </mc:AlternateContent>
</xdr:wsDr>
</file>

<file path=xl/drawings/drawing3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33</xdr:col>
          <xdr:colOff>76200</xdr:colOff>
          <xdr:row>0</xdr:row>
          <xdr:rowOff>161925</xdr:rowOff>
        </xdr:from>
        <xdr:to>
          <xdr:col>36</xdr:col>
          <xdr:colOff>57150</xdr:colOff>
          <xdr:row>2</xdr:row>
          <xdr:rowOff>76200</xdr:rowOff>
        </xdr:to>
        <xdr:sp macro="" textlink="">
          <xdr:nvSpPr>
            <xdr:cNvPr id="48129" name="Button 1" hidden="1">
              <a:extLst>
                <a:ext uri="{63B3BB69-23CF-44E3-9099-C40C66FF867C}">
                  <a14:compatExt spid="_x0000_s4812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データ削除</a:t>
              </a:r>
            </a:p>
          </xdr:txBody>
        </xdr:sp>
        <xdr:clientData fPrintsWithSheet="0"/>
      </xdr:twoCellAnchor>
    </mc:Choice>
    <mc:Fallback/>
  </mc:AlternateContent>
</xdr:wsDr>
</file>

<file path=xl/drawings/drawing3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161925</xdr:colOff>
          <xdr:row>0</xdr:row>
          <xdr:rowOff>209550</xdr:rowOff>
        </xdr:from>
        <xdr:to>
          <xdr:col>16</xdr:col>
          <xdr:colOff>409575</xdr:colOff>
          <xdr:row>2</xdr:row>
          <xdr:rowOff>200025</xdr:rowOff>
        </xdr:to>
        <xdr:sp macro="" textlink="">
          <xdr:nvSpPr>
            <xdr:cNvPr id="49153" name="Button 1" hidden="1">
              <a:extLst>
                <a:ext uri="{63B3BB69-23CF-44E3-9099-C40C66FF867C}">
                  <a14:compatExt spid="_x0000_s4915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データ削除</a:t>
              </a:r>
            </a:p>
          </xdr:txBody>
        </xdr:sp>
        <xdr:clientData fPrintsWithSheet="0"/>
      </xdr:twoCellAnchor>
    </mc:Choice>
    <mc:Fallback/>
  </mc:AlternateContent>
</xdr:wsDr>
</file>

<file path=xl/drawings/drawing3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190500</xdr:colOff>
          <xdr:row>2</xdr:row>
          <xdr:rowOff>209550</xdr:rowOff>
        </xdr:from>
        <xdr:to>
          <xdr:col>20</xdr:col>
          <xdr:colOff>571500</xdr:colOff>
          <xdr:row>4</xdr:row>
          <xdr:rowOff>9525</xdr:rowOff>
        </xdr:to>
        <xdr:sp macro="" textlink="">
          <xdr:nvSpPr>
            <xdr:cNvPr id="50177" name="Button 1" hidden="1">
              <a:extLst>
                <a:ext uri="{63B3BB69-23CF-44E3-9099-C40C66FF867C}">
                  <a14:compatExt spid="_x0000_s5017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データ削除</a:t>
              </a:r>
            </a:p>
          </xdr:txBody>
        </xdr:sp>
        <xdr:clientData fPrintsWithSheet="0"/>
      </xdr:twoCellAnchor>
    </mc:Choice>
    <mc:Fallback/>
  </mc:AlternateContent>
</xdr:wsDr>
</file>

<file path=xl/drawings/drawing39.xml><?xml version="1.0" encoding="utf-8"?>
<xdr:wsDr xmlns:xdr="http://schemas.openxmlformats.org/drawingml/2006/spreadsheetDrawing" xmlns:a="http://schemas.openxmlformats.org/drawingml/2006/main">
  <xdr:twoCellAnchor>
    <xdr:from>
      <xdr:col>0</xdr:col>
      <xdr:colOff>225137</xdr:colOff>
      <xdr:row>2</xdr:row>
      <xdr:rowOff>98496</xdr:rowOff>
    </xdr:from>
    <xdr:to>
      <xdr:col>5</xdr:col>
      <xdr:colOff>129981</xdr:colOff>
      <xdr:row>19</xdr:row>
      <xdr:rowOff>144809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353722</xdr:colOff>
      <xdr:row>2</xdr:row>
      <xdr:rowOff>105639</xdr:rowOff>
    </xdr:from>
    <xdr:to>
      <xdr:col>10</xdr:col>
      <xdr:colOff>437159</xdr:colOff>
      <xdr:row>19</xdr:row>
      <xdr:rowOff>151952</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215395</xdr:colOff>
      <xdr:row>22</xdr:row>
      <xdr:rowOff>44810</xdr:rowOff>
    </xdr:from>
    <xdr:to>
      <xdr:col>5</xdr:col>
      <xdr:colOff>120239</xdr:colOff>
      <xdr:row>39</xdr:row>
      <xdr:rowOff>91123</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324930</xdr:colOff>
      <xdr:row>22</xdr:row>
      <xdr:rowOff>51953</xdr:rowOff>
    </xdr:from>
    <xdr:to>
      <xdr:col>10</xdr:col>
      <xdr:colOff>408367</xdr:colOff>
      <xdr:row>39</xdr:row>
      <xdr:rowOff>98266</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214315</xdr:colOff>
      <xdr:row>0</xdr:row>
      <xdr:rowOff>83342</xdr:rowOff>
    </xdr:from>
    <xdr:to>
      <xdr:col>3</xdr:col>
      <xdr:colOff>464343</xdr:colOff>
      <xdr:row>2</xdr:row>
      <xdr:rowOff>83342</xdr:rowOff>
    </xdr:to>
    <xdr:sp macro="" textlink="">
      <xdr:nvSpPr>
        <xdr:cNvPr id="6" name="テキスト ボックス 5"/>
        <xdr:cNvSpPr txBox="1"/>
      </xdr:nvSpPr>
      <xdr:spPr>
        <a:xfrm>
          <a:off x="214315" y="83342"/>
          <a:ext cx="2135978" cy="342900"/>
        </a:xfrm>
        <a:prstGeom prst="round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年齢区分　患者全体</a:t>
          </a:r>
        </a:p>
      </xdr:txBody>
    </xdr:sp>
    <xdr:clientData/>
  </xdr:twoCellAnchor>
  <xdr:twoCellAnchor>
    <xdr:from>
      <xdr:col>0</xdr:col>
      <xdr:colOff>198076</xdr:colOff>
      <xdr:row>20</xdr:row>
      <xdr:rowOff>60614</xdr:rowOff>
    </xdr:from>
    <xdr:to>
      <xdr:col>3</xdr:col>
      <xdr:colOff>448104</xdr:colOff>
      <xdr:row>22</xdr:row>
      <xdr:rowOff>60613</xdr:rowOff>
    </xdr:to>
    <xdr:sp macro="" textlink="">
      <xdr:nvSpPr>
        <xdr:cNvPr id="7" name="テキスト ボックス 6"/>
        <xdr:cNvSpPr txBox="1"/>
      </xdr:nvSpPr>
      <xdr:spPr>
        <a:xfrm>
          <a:off x="198076" y="3524250"/>
          <a:ext cx="2146369" cy="346363"/>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年齢区分　一年以上</a:t>
          </a:r>
        </a:p>
      </xdr:txBody>
    </xdr:sp>
    <xdr:clientData/>
  </xdr:twoCellAnchor>
  <xdr:twoCellAnchor>
    <xdr:from>
      <xdr:col>0</xdr:col>
      <xdr:colOff>199159</xdr:colOff>
      <xdr:row>43</xdr:row>
      <xdr:rowOff>46543</xdr:rowOff>
    </xdr:from>
    <xdr:to>
      <xdr:col>5</xdr:col>
      <xdr:colOff>104003</xdr:colOff>
      <xdr:row>60</xdr:row>
      <xdr:rowOff>92856</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327744</xdr:colOff>
      <xdr:row>43</xdr:row>
      <xdr:rowOff>63211</xdr:rowOff>
    </xdr:from>
    <xdr:to>
      <xdr:col>10</xdr:col>
      <xdr:colOff>411181</xdr:colOff>
      <xdr:row>60</xdr:row>
      <xdr:rowOff>109524</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190500</xdr:colOff>
      <xdr:row>41</xdr:row>
      <xdr:rowOff>51955</xdr:rowOff>
    </xdr:from>
    <xdr:to>
      <xdr:col>3</xdr:col>
      <xdr:colOff>440528</xdr:colOff>
      <xdr:row>43</xdr:row>
      <xdr:rowOff>51955</xdr:rowOff>
    </xdr:to>
    <xdr:sp macro="" textlink="">
      <xdr:nvSpPr>
        <xdr:cNvPr id="10" name="テキスト ボックス 9"/>
        <xdr:cNvSpPr txBox="1"/>
      </xdr:nvSpPr>
      <xdr:spPr>
        <a:xfrm>
          <a:off x="190500" y="7152410"/>
          <a:ext cx="2146369" cy="346363"/>
        </a:xfrm>
        <a:prstGeom prst="roundRect">
          <a:avLst/>
        </a:prstGeom>
        <a:solidFill>
          <a:srgbClr val="FAFDD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年齢区分　</a:t>
          </a:r>
          <a:r>
            <a:rPr kumimoji="1" lang="en-US" altLang="ja-JP" sz="1400" b="1">
              <a:latin typeface="メイリオ" panose="020B0604030504040204" pitchFamily="50" charset="-128"/>
              <a:ea typeface="メイリオ" panose="020B0604030504040204" pitchFamily="50" charset="-128"/>
            </a:rPr>
            <a:t>65</a:t>
          </a:r>
          <a:r>
            <a:rPr kumimoji="1" lang="ja-JP" altLang="en-US" sz="1400" b="1">
              <a:latin typeface="メイリオ" panose="020B0604030504040204" pitchFamily="50" charset="-128"/>
              <a:ea typeface="メイリオ" panose="020B0604030504040204" pitchFamily="50" charset="-128"/>
            </a:rPr>
            <a:t>歳以上</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561975</xdr:colOff>
          <xdr:row>2</xdr:row>
          <xdr:rowOff>219075</xdr:rowOff>
        </xdr:from>
        <xdr:to>
          <xdr:col>20</xdr:col>
          <xdr:colOff>333375</xdr:colOff>
          <xdr:row>4</xdr:row>
          <xdr:rowOff>180975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40.xml><?xml version="1.0" encoding="utf-8"?>
<xdr:wsDr xmlns:xdr="http://schemas.openxmlformats.org/drawingml/2006/spreadsheetDrawing" xmlns:a="http://schemas.openxmlformats.org/drawingml/2006/main">
  <xdr:twoCellAnchor>
    <xdr:from>
      <xdr:col>0</xdr:col>
      <xdr:colOff>225137</xdr:colOff>
      <xdr:row>2</xdr:row>
      <xdr:rowOff>98496</xdr:rowOff>
    </xdr:from>
    <xdr:to>
      <xdr:col>5</xdr:col>
      <xdr:colOff>129981</xdr:colOff>
      <xdr:row>19</xdr:row>
      <xdr:rowOff>144809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353722</xdr:colOff>
      <xdr:row>2</xdr:row>
      <xdr:rowOff>115164</xdr:rowOff>
    </xdr:from>
    <xdr:to>
      <xdr:col>10</xdr:col>
      <xdr:colOff>437159</xdr:colOff>
      <xdr:row>19</xdr:row>
      <xdr:rowOff>161477</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215395</xdr:colOff>
      <xdr:row>22</xdr:row>
      <xdr:rowOff>63860</xdr:rowOff>
    </xdr:from>
    <xdr:to>
      <xdr:col>5</xdr:col>
      <xdr:colOff>120239</xdr:colOff>
      <xdr:row>39</xdr:row>
      <xdr:rowOff>110173</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214315</xdr:colOff>
      <xdr:row>0</xdr:row>
      <xdr:rowOff>83342</xdr:rowOff>
    </xdr:from>
    <xdr:to>
      <xdr:col>3</xdr:col>
      <xdr:colOff>464343</xdr:colOff>
      <xdr:row>2</xdr:row>
      <xdr:rowOff>83342</xdr:rowOff>
    </xdr:to>
    <xdr:sp macro="" textlink="">
      <xdr:nvSpPr>
        <xdr:cNvPr id="6" name="テキスト ボックス 5"/>
        <xdr:cNvSpPr txBox="1"/>
      </xdr:nvSpPr>
      <xdr:spPr>
        <a:xfrm>
          <a:off x="214315" y="83342"/>
          <a:ext cx="2135978" cy="342900"/>
        </a:xfrm>
        <a:prstGeom prst="round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疾患別　患者全体</a:t>
          </a:r>
        </a:p>
      </xdr:txBody>
    </xdr:sp>
    <xdr:clientData/>
  </xdr:twoCellAnchor>
  <xdr:twoCellAnchor>
    <xdr:from>
      <xdr:col>0</xdr:col>
      <xdr:colOff>198076</xdr:colOff>
      <xdr:row>20</xdr:row>
      <xdr:rowOff>60614</xdr:rowOff>
    </xdr:from>
    <xdr:to>
      <xdr:col>3</xdr:col>
      <xdr:colOff>448104</xdr:colOff>
      <xdr:row>22</xdr:row>
      <xdr:rowOff>60613</xdr:rowOff>
    </xdr:to>
    <xdr:sp macro="" textlink="">
      <xdr:nvSpPr>
        <xdr:cNvPr id="7" name="テキスト ボックス 6"/>
        <xdr:cNvSpPr txBox="1"/>
      </xdr:nvSpPr>
      <xdr:spPr>
        <a:xfrm>
          <a:off x="198076" y="3489614"/>
          <a:ext cx="2135978" cy="342899"/>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疾患別　一年以上</a:t>
          </a:r>
        </a:p>
      </xdr:txBody>
    </xdr:sp>
    <xdr:clientData/>
  </xdr:twoCellAnchor>
  <xdr:twoCellAnchor>
    <xdr:from>
      <xdr:col>0</xdr:col>
      <xdr:colOff>199159</xdr:colOff>
      <xdr:row>43</xdr:row>
      <xdr:rowOff>46543</xdr:rowOff>
    </xdr:from>
    <xdr:to>
      <xdr:col>5</xdr:col>
      <xdr:colOff>104003</xdr:colOff>
      <xdr:row>60</xdr:row>
      <xdr:rowOff>92856</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327744</xdr:colOff>
      <xdr:row>43</xdr:row>
      <xdr:rowOff>63211</xdr:rowOff>
    </xdr:from>
    <xdr:to>
      <xdr:col>10</xdr:col>
      <xdr:colOff>411181</xdr:colOff>
      <xdr:row>60</xdr:row>
      <xdr:rowOff>109524</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190500</xdr:colOff>
      <xdr:row>41</xdr:row>
      <xdr:rowOff>51955</xdr:rowOff>
    </xdr:from>
    <xdr:to>
      <xdr:col>3</xdr:col>
      <xdr:colOff>440528</xdr:colOff>
      <xdr:row>43</xdr:row>
      <xdr:rowOff>51955</xdr:rowOff>
    </xdr:to>
    <xdr:sp macro="" textlink="">
      <xdr:nvSpPr>
        <xdr:cNvPr id="10" name="テキスト ボックス 9"/>
        <xdr:cNvSpPr txBox="1"/>
      </xdr:nvSpPr>
      <xdr:spPr>
        <a:xfrm>
          <a:off x="190500" y="7081405"/>
          <a:ext cx="2135978" cy="342900"/>
        </a:xfrm>
        <a:prstGeom prst="roundRect">
          <a:avLst/>
        </a:prstGeom>
        <a:solidFill>
          <a:srgbClr val="FAFDD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疾患別　</a:t>
          </a:r>
          <a:r>
            <a:rPr kumimoji="1" lang="en-US" altLang="ja-JP" sz="1400" b="1">
              <a:latin typeface="メイリオ" panose="020B0604030504040204" pitchFamily="50" charset="-128"/>
              <a:ea typeface="メイリオ" panose="020B0604030504040204" pitchFamily="50" charset="-128"/>
            </a:rPr>
            <a:t>65</a:t>
          </a:r>
          <a:r>
            <a:rPr kumimoji="1" lang="ja-JP" altLang="en-US" sz="1400" b="1">
              <a:latin typeface="メイリオ" panose="020B0604030504040204" pitchFamily="50" charset="-128"/>
              <a:ea typeface="メイリオ" panose="020B0604030504040204" pitchFamily="50" charset="-128"/>
            </a:rPr>
            <a:t>歳以上</a:t>
          </a:r>
        </a:p>
      </xdr:txBody>
    </xdr:sp>
    <xdr:clientData/>
  </xdr:twoCellAnchor>
  <xdr:twoCellAnchor>
    <xdr:from>
      <xdr:col>5</xdr:col>
      <xdr:colOff>337705</xdr:colOff>
      <xdr:row>22</xdr:row>
      <xdr:rowOff>69273</xdr:rowOff>
    </xdr:from>
    <xdr:to>
      <xdr:col>10</xdr:col>
      <xdr:colOff>415730</xdr:colOff>
      <xdr:row>39</xdr:row>
      <xdr:rowOff>115586</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312303</xdr:colOff>
      <xdr:row>3</xdr:row>
      <xdr:rowOff>6922</xdr:rowOff>
    </xdr:from>
    <xdr:to>
      <xdr:col>9</xdr:col>
      <xdr:colOff>277203</xdr:colOff>
      <xdr:row>21</xdr:row>
      <xdr:rowOff>40672</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307972</xdr:colOff>
      <xdr:row>21</xdr:row>
      <xdr:rowOff>221958</xdr:rowOff>
    </xdr:from>
    <xdr:to>
      <xdr:col>9</xdr:col>
      <xdr:colOff>272872</xdr:colOff>
      <xdr:row>40</xdr:row>
      <xdr:rowOff>17583</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103909</xdr:colOff>
      <xdr:row>0</xdr:row>
      <xdr:rowOff>138545</xdr:rowOff>
    </xdr:from>
    <xdr:to>
      <xdr:col>3</xdr:col>
      <xdr:colOff>250028</xdr:colOff>
      <xdr:row>1</xdr:row>
      <xdr:rowOff>242454</xdr:rowOff>
    </xdr:to>
    <xdr:sp macro="" textlink="">
      <xdr:nvSpPr>
        <xdr:cNvPr id="13" name="テキスト ボックス 12"/>
        <xdr:cNvSpPr txBox="1"/>
      </xdr:nvSpPr>
      <xdr:spPr>
        <a:xfrm>
          <a:off x="103909" y="138545"/>
          <a:ext cx="2146369" cy="346364"/>
        </a:xfrm>
        <a:prstGeom prst="round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在院期間</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312303</xdr:colOff>
      <xdr:row>3</xdr:row>
      <xdr:rowOff>6922</xdr:rowOff>
    </xdr:from>
    <xdr:to>
      <xdr:col>9</xdr:col>
      <xdr:colOff>277203</xdr:colOff>
      <xdr:row>21</xdr:row>
      <xdr:rowOff>40672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307972</xdr:colOff>
      <xdr:row>21</xdr:row>
      <xdr:rowOff>221958</xdr:rowOff>
    </xdr:from>
    <xdr:to>
      <xdr:col>9</xdr:col>
      <xdr:colOff>272872</xdr:colOff>
      <xdr:row>40</xdr:row>
      <xdr:rowOff>17583</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103909</xdr:colOff>
      <xdr:row>0</xdr:row>
      <xdr:rowOff>138545</xdr:rowOff>
    </xdr:from>
    <xdr:to>
      <xdr:col>3</xdr:col>
      <xdr:colOff>250028</xdr:colOff>
      <xdr:row>1</xdr:row>
      <xdr:rowOff>242454</xdr:rowOff>
    </xdr:to>
    <xdr:sp macro="" textlink="">
      <xdr:nvSpPr>
        <xdr:cNvPr id="4" name="テキスト ボックス 3"/>
        <xdr:cNvSpPr txBox="1"/>
      </xdr:nvSpPr>
      <xdr:spPr>
        <a:xfrm>
          <a:off x="103909" y="138545"/>
          <a:ext cx="2317819" cy="342034"/>
        </a:xfrm>
        <a:prstGeom prst="round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在院期間</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381000</xdr:colOff>
      <xdr:row>0</xdr:row>
      <xdr:rowOff>158750</xdr:rowOff>
    </xdr:from>
    <xdr:to>
      <xdr:col>2</xdr:col>
      <xdr:colOff>1797119</xdr:colOff>
      <xdr:row>0</xdr:row>
      <xdr:rowOff>988219</xdr:rowOff>
    </xdr:to>
    <xdr:sp macro="" textlink="">
      <xdr:nvSpPr>
        <xdr:cNvPr id="2" name="テキスト ボックス 1"/>
        <xdr:cNvSpPr txBox="1"/>
      </xdr:nvSpPr>
      <xdr:spPr>
        <a:xfrm>
          <a:off x="381000" y="158750"/>
          <a:ext cx="3082994" cy="829469"/>
        </a:xfrm>
        <a:prstGeom prst="roundRect">
          <a:avLst/>
        </a:prstGeom>
        <a:solidFill>
          <a:srgbClr val="FF7C8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退院阻害要因</a:t>
          </a:r>
        </a:p>
      </xdr:txBody>
    </xdr:sp>
    <xdr:clientData/>
  </xdr:twoCellAnchor>
  <xdr:twoCellAnchor>
    <xdr:from>
      <xdr:col>0</xdr:col>
      <xdr:colOff>0</xdr:colOff>
      <xdr:row>15</xdr:row>
      <xdr:rowOff>476250</xdr:rowOff>
    </xdr:from>
    <xdr:to>
      <xdr:col>3</xdr:col>
      <xdr:colOff>438000</xdr:colOff>
      <xdr:row>19</xdr:row>
      <xdr:rowOff>525375</xdr:rowOff>
    </xdr:to>
    <xdr:graphicFrame macro="">
      <xdr:nvGraphicFramePr>
        <xdr:cNvPr id="5" name="グラフ 4">
          <a:extLst>
            <a:ext uri="{FF2B5EF4-FFF2-40B4-BE49-F238E27FC236}">
              <a16:creationId xmlns:a16="http://schemas.microsoft.com/office/drawing/2014/main" id="{9CD58E29-191C-4426-B150-FA6FA4588A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476248</xdr:colOff>
      <xdr:row>15</xdr:row>
      <xdr:rowOff>476252</xdr:rowOff>
    </xdr:from>
    <xdr:to>
      <xdr:col>6</xdr:col>
      <xdr:colOff>451310</xdr:colOff>
      <xdr:row>19</xdr:row>
      <xdr:rowOff>525377</xdr:rowOff>
    </xdr:to>
    <xdr:graphicFrame macro="">
      <xdr:nvGraphicFramePr>
        <xdr:cNvPr id="6" name="グラフ 5">
          <a:extLst>
            <a:ext uri="{FF2B5EF4-FFF2-40B4-BE49-F238E27FC236}">
              <a16:creationId xmlns:a16="http://schemas.microsoft.com/office/drawing/2014/main" id="{9CD58E29-191C-4426-B150-FA6FA4588A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xdr:row>
      <xdr:rowOff>321469</xdr:rowOff>
    </xdr:from>
    <xdr:to>
      <xdr:col>3</xdr:col>
      <xdr:colOff>438000</xdr:colOff>
      <xdr:row>15</xdr:row>
      <xdr:rowOff>370594</xdr:rowOff>
    </xdr:to>
    <xdr:graphicFrame macro="">
      <xdr:nvGraphicFramePr>
        <xdr:cNvPr id="7" name="グラフ 6">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488158</xdr:colOff>
      <xdr:row>11</xdr:row>
      <xdr:rowOff>333374</xdr:rowOff>
    </xdr:from>
    <xdr:to>
      <xdr:col>6</xdr:col>
      <xdr:colOff>463220</xdr:colOff>
      <xdr:row>15</xdr:row>
      <xdr:rowOff>382499</xdr:rowOff>
    </xdr:to>
    <xdr:graphicFrame macro="">
      <xdr:nvGraphicFramePr>
        <xdr:cNvPr id="8" name="グラフ 7">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11908</xdr:colOff>
      <xdr:row>10</xdr:row>
      <xdr:rowOff>333375</xdr:rowOff>
    </xdr:from>
    <xdr:to>
      <xdr:col>2</xdr:col>
      <xdr:colOff>2000252</xdr:colOff>
      <xdr:row>11</xdr:row>
      <xdr:rowOff>127000</xdr:rowOff>
    </xdr:to>
    <xdr:sp macro="" textlink="">
      <xdr:nvSpPr>
        <xdr:cNvPr id="13" name="テキスト ボックス 12"/>
        <xdr:cNvSpPr txBox="1"/>
      </xdr:nvSpPr>
      <xdr:spPr>
        <a:xfrm>
          <a:off x="1131096" y="9346406"/>
          <a:ext cx="1988344" cy="591344"/>
        </a:xfrm>
        <a:prstGeom prst="ellipse">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患者全体</a:t>
          </a:r>
        </a:p>
      </xdr:txBody>
    </xdr:sp>
    <xdr:clientData/>
  </xdr:twoCellAnchor>
  <xdr:twoCellAnchor>
    <xdr:from>
      <xdr:col>3</xdr:col>
      <xdr:colOff>735807</xdr:colOff>
      <xdr:row>10</xdr:row>
      <xdr:rowOff>390524</xdr:rowOff>
    </xdr:from>
    <xdr:to>
      <xdr:col>6</xdr:col>
      <xdr:colOff>11907</xdr:colOff>
      <xdr:row>11</xdr:row>
      <xdr:rowOff>184149</xdr:rowOff>
    </xdr:to>
    <xdr:sp macro="" textlink="">
      <xdr:nvSpPr>
        <xdr:cNvPr id="14" name="テキスト ボックス 13"/>
        <xdr:cNvSpPr txBox="1"/>
      </xdr:nvSpPr>
      <xdr:spPr>
        <a:xfrm>
          <a:off x="4545807" y="9403555"/>
          <a:ext cx="3729038" cy="591344"/>
        </a:xfrm>
        <a:prstGeom prst="ellipse">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メイリオ" panose="020B0604030504040204" pitchFamily="50" charset="-128"/>
              <a:ea typeface="メイリオ" panose="020B0604030504040204" pitchFamily="50" charset="-128"/>
            </a:rPr>
            <a:t>1</a:t>
          </a:r>
          <a:r>
            <a:rPr kumimoji="1" lang="ja-JP" altLang="en-US" sz="1600" b="1">
              <a:latin typeface="メイリオ" panose="020B0604030504040204" pitchFamily="50" charset="-128"/>
              <a:ea typeface="メイリオ" panose="020B0604030504040204" pitchFamily="50" charset="-128"/>
            </a:rPr>
            <a:t>年以上　寛解・院内寛解</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338665</xdr:colOff>
      <xdr:row>0</xdr:row>
      <xdr:rowOff>135466</xdr:rowOff>
    </xdr:from>
    <xdr:to>
      <xdr:col>8</xdr:col>
      <xdr:colOff>447332</xdr:colOff>
      <xdr:row>42</xdr:row>
      <xdr:rowOff>76466</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330198</xdr:colOff>
      <xdr:row>44</xdr:row>
      <xdr:rowOff>211666</xdr:rowOff>
    </xdr:from>
    <xdr:to>
      <xdr:col>8</xdr:col>
      <xdr:colOff>438865</xdr:colOff>
      <xdr:row>86</xdr:row>
      <xdr:rowOff>152666</xdr:rowOff>
    </xdr:to>
    <xdr:graphicFrame macro="">
      <xdr:nvGraphicFramePr>
        <xdr:cNvPr id="3" name="グラフ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57150</xdr:colOff>
          <xdr:row>1</xdr:row>
          <xdr:rowOff>190500</xdr:rowOff>
        </xdr:from>
        <xdr:to>
          <xdr:col>5</xdr:col>
          <xdr:colOff>466725</xdr:colOff>
          <xdr:row>3</xdr:row>
          <xdr:rowOff>142875</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295275</xdr:colOff>
          <xdr:row>4</xdr:row>
          <xdr:rowOff>9525</xdr:rowOff>
        </xdr:from>
        <xdr:to>
          <xdr:col>11</xdr:col>
          <xdr:colOff>1438275</xdr:colOff>
          <xdr:row>5</xdr:row>
          <xdr:rowOff>161925</xdr:rowOff>
        </xdr:to>
        <xdr:sp macro="" textlink="">
          <xdr:nvSpPr>
            <xdr:cNvPr id="11265" name="Button 1" hidden="1">
              <a:extLst>
                <a:ext uri="{63B3BB69-23CF-44E3-9099-C40C66FF867C}">
                  <a14:compatExt spid="_x0000_s11265"/>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704850</xdr:colOff>
          <xdr:row>3</xdr:row>
          <xdr:rowOff>76200</xdr:rowOff>
        </xdr:from>
        <xdr:to>
          <xdr:col>19</xdr:col>
          <xdr:colOff>161925</xdr:colOff>
          <xdr:row>5</xdr:row>
          <xdr:rowOff>114300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885825</xdr:colOff>
          <xdr:row>3</xdr:row>
          <xdr:rowOff>47625</xdr:rowOff>
        </xdr:from>
        <xdr:to>
          <xdr:col>11</xdr:col>
          <xdr:colOff>342900</xdr:colOff>
          <xdr:row>5</xdr:row>
          <xdr:rowOff>95250</xdr:rowOff>
        </xdr:to>
        <xdr:sp macro="" textlink="">
          <xdr:nvSpPr>
            <xdr:cNvPr id="13313" name="Button 1" hidden="1">
              <a:extLst>
                <a:ext uri="{63B3BB69-23CF-44E3-9099-C40C66FF867C}">
                  <a14:compatExt spid="_x0000_s13313"/>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104775</xdr:colOff>
          <xdr:row>21</xdr:row>
          <xdr:rowOff>219075</xdr:rowOff>
        </xdr:from>
        <xdr:to>
          <xdr:col>15</xdr:col>
          <xdr:colOff>85725</xdr:colOff>
          <xdr:row>24</xdr:row>
          <xdr:rowOff>76200</xdr:rowOff>
        </xdr:to>
        <xdr:sp macro="" textlink="">
          <xdr:nvSpPr>
            <xdr:cNvPr id="14337" name="Button 1" hidden="1">
              <a:extLst>
                <a:ext uri="{63B3BB69-23CF-44E3-9099-C40C66FF867C}">
                  <a14:compatExt spid="_x0000_s14337"/>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tables/table1.xml><?xml version="1.0" encoding="utf-8"?>
<table xmlns="http://schemas.openxmlformats.org/spreadsheetml/2006/main" id="9" name="年齢区分" displayName="年齢区分" ref="K4:L14" totalsRowShown="0" headerRowDxfId="657" dataDxfId="656">
  <autoFilter ref="K4:L14">
    <filterColumn colId="0" hiddenButton="1"/>
    <filterColumn colId="1" hiddenButton="1"/>
  </autoFilter>
  <tableColumns count="2">
    <tableColumn id="1" name="行ラベル" dataDxfId="655"/>
    <tableColumn id="2" name="データの個数 / 年齢" dataDxfId="654"/>
  </tableColumns>
  <tableStyleInfo name="TableStyleMedium2" showFirstColumn="0" showLastColumn="0" showRowStripes="1" showColumnStripes="0"/>
</table>
</file>

<file path=xl/tables/table10.xml><?xml version="1.0" encoding="utf-8"?>
<table xmlns="http://schemas.openxmlformats.org/spreadsheetml/2006/main" id="13" name="在院期間" displayName="在院期間" ref="K4:L20" totalsRowShown="0">
  <autoFilter ref="K4:L20">
    <filterColumn colId="0" hiddenButton="1"/>
    <filterColumn colId="1" hiddenButton="1"/>
  </autoFilter>
  <tableColumns count="2">
    <tableColumn id="1" name="行ラベル" dataDxfId="626"/>
    <tableColumn id="2" name="データの個数 / 在院" dataDxfId="625"/>
  </tableColumns>
  <tableStyleInfo name="TableStyleMedium2" showFirstColumn="0" showLastColumn="0" showRowStripes="1" showColumnStripes="0"/>
</table>
</file>

<file path=xl/tables/table11.xml><?xml version="1.0" encoding="utf-8"?>
<table xmlns="http://schemas.openxmlformats.org/spreadsheetml/2006/main" id="14" name="在院期間＿寛解" displayName="在院期間＿寛解" ref="N4:O20" totalsRowShown="0">
  <autoFilter ref="N4:O20">
    <filterColumn colId="0" hiddenButton="1"/>
    <filterColumn colId="1" hiddenButton="1"/>
  </autoFilter>
  <tableColumns count="2">
    <tableColumn id="1" name="行ラベル" dataDxfId="624"/>
    <tableColumn id="2" name="データの個数 / 在院" dataDxfId="623"/>
  </tableColumns>
  <tableStyleInfo name="TableStyleMedium2" showFirstColumn="0" showLastColumn="0" showRowStripes="1" showColumnStripes="0"/>
</table>
</file>

<file path=xl/tables/table12.xml><?xml version="1.0" encoding="utf-8"?>
<table xmlns="http://schemas.openxmlformats.org/spreadsheetml/2006/main" id="15" name="在院期間＿院内寛解" displayName="在院期間＿院内寛解" ref="P4:Q20" totalsRowShown="0">
  <autoFilter ref="P4:Q20">
    <filterColumn colId="0" hiddenButton="1"/>
    <filterColumn colId="1" hiddenButton="1"/>
  </autoFilter>
  <tableColumns count="2">
    <tableColumn id="1" name="行ラベル" dataDxfId="622"/>
    <tableColumn id="2" name="データの個数 / 在院" dataDxfId="621"/>
  </tableColumns>
  <tableStyleInfo name="TableStyleMedium2" showFirstColumn="0" showLastColumn="0" showRowStripes="1" showColumnStripes="0"/>
</table>
</file>

<file path=xl/tables/table13.xml><?xml version="1.0" encoding="utf-8"?>
<table xmlns="http://schemas.openxmlformats.org/spreadsheetml/2006/main" id="19" name="年齢区分＿1年以上" displayName="年齢区分＿1年以上" ref="K4:L14" totalsRowShown="0">
  <autoFilter ref="K4:L14">
    <filterColumn colId="0" hiddenButton="1"/>
    <filterColumn colId="1" hiddenButton="1"/>
  </autoFilter>
  <tableColumns count="2">
    <tableColumn id="1" name="行ラベル" dataDxfId="620"/>
    <tableColumn id="2" name="データの個数 / 年齢" dataDxfId="619"/>
  </tableColumns>
  <tableStyleInfo name="TableStyleMedium2" showFirstColumn="0" showLastColumn="0" showRowStripes="1" showColumnStripes="0"/>
</table>
</file>

<file path=xl/tables/table14.xml><?xml version="1.0" encoding="utf-8"?>
<table xmlns="http://schemas.openxmlformats.org/spreadsheetml/2006/main" id="20" name="年齢区分＿1年以上＿寛解" displayName="年齢区分＿1年以上＿寛解" ref="N4:O13" totalsRowShown="0">
  <autoFilter ref="N4:O13">
    <filterColumn colId="0" hiddenButton="1"/>
    <filterColumn colId="1" hiddenButton="1"/>
  </autoFilter>
  <tableColumns count="2">
    <tableColumn id="1" name="行ラベル" dataDxfId="618"/>
    <tableColumn id="2" name="データの個数 / 年齢" dataDxfId="617"/>
  </tableColumns>
  <tableStyleInfo name="TableStyleMedium2" showFirstColumn="0" showLastColumn="0" showRowStripes="1" showColumnStripes="0"/>
</table>
</file>

<file path=xl/tables/table15.xml><?xml version="1.0" encoding="utf-8"?>
<table xmlns="http://schemas.openxmlformats.org/spreadsheetml/2006/main" id="21" name="年齢区分＿1年以上＿院内寛解" displayName="年齢区分＿1年以上＿院内寛解" ref="P4:Q13" totalsRowShown="0">
  <autoFilter ref="P4:Q13">
    <filterColumn colId="0" hiddenButton="1"/>
    <filterColumn colId="1" hiddenButton="1"/>
  </autoFilter>
  <tableColumns count="2">
    <tableColumn id="1" name="行ラベル" dataDxfId="616"/>
    <tableColumn id="2" name="データの個数 / 年齢" dataDxfId="615"/>
  </tableColumns>
  <tableStyleInfo name="TableStyleMedium2" showFirstColumn="0" showLastColumn="0" showRowStripes="1" showColumnStripes="0"/>
</table>
</file>

<file path=xl/tables/table16.xml><?xml version="1.0" encoding="utf-8"?>
<table xmlns="http://schemas.openxmlformats.org/spreadsheetml/2006/main" id="22" name="入院形態＿1年以上" displayName="入院形態＿1年以上" ref="G4:H11" totalsRowShown="0" headerRowDxfId="614">
  <autoFilter ref="G4:H11">
    <filterColumn colId="0" hiddenButton="1"/>
    <filterColumn colId="1" hiddenButton="1"/>
  </autoFilter>
  <tableColumns count="2">
    <tableColumn id="1" name="行ラベル" dataDxfId="613"/>
    <tableColumn id="2" name="データの個数 / 入院" dataDxfId="612"/>
  </tableColumns>
  <tableStyleInfo name="TableStyleMedium2" showFirstColumn="0" showLastColumn="0" showRowStripes="1" showColumnStripes="0"/>
</table>
</file>

<file path=xl/tables/table17.xml><?xml version="1.0" encoding="utf-8"?>
<table xmlns="http://schemas.openxmlformats.org/spreadsheetml/2006/main" id="23" name="入院形態＿1年以上＿寛解" displayName="入院形態＿1年以上＿寛解" ref="G16:H23" totalsRowShown="0" headerRowDxfId="611">
  <autoFilter ref="G16:H23">
    <filterColumn colId="0" hiddenButton="1"/>
    <filterColumn colId="1" hiddenButton="1"/>
  </autoFilter>
  <tableColumns count="2">
    <tableColumn id="1" name="行ラベル" dataDxfId="610"/>
    <tableColumn id="2" name="データの個数 / 入院" dataDxfId="609"/>
  </tableColumns>
  <tableStyleInfo name="TableStyleMedium2" showFirstColumn="0" showLastColumn="0" showRowStripes="1" showColumnStripes="0"/>
</table>
</file>

<file path=xl/tables/table18.xml><?xml version="1.0" encoding="utf-8"?>
<table xmlns="http://schemas.openxmlformats.org/spreadsheetml/2006/main" id="24" name="入院形態＿1年以上＿院内寛解" displayName="入院形態＿1年以上＿院内寛解" ref="J16:K23" totalsRowShown="0" headerRowDxfId="608">
  <autoFilter ref="J16:K23">
    <filterColumn colId="0" hiddenButton="1"/>
    <filterColumn colId="1" hiddenButton="1"/>
  </autoFilter>
  <tableColumns count="2">
    <tableColumn id="1" name="行ラベル" dataDxfId="607"/>
    <tableColumn id="2" name="データの個数 / 入院" dataDxfId="606"/>
  </tableColumns>
  <tableStyleInfo name="TableStyleMedium2" showFirstColumn="0" showLastColumn="0" showRowStripes="1" showColumnStripes="0"/>
</table>
</file>

<file path=xl/tables/table19.xml><?xml version="1.0" encoding="utf-8"?>
<table xmlns="http://schemas.openxmlformats.org/spreadsheetml/2006/main" id="28" name="疾患別＿1年以上" displayName="疾患別＿1年以上" ref="B23:C41" totalsRowShown="0" headerRowDxfId="605">
  <autoFilter ref="B23:C41">
    <filterColumn colId="0" hiddenButton="1"/>
    <filterColumn colId="1" hiddenButton="1"/>
  </autoFilter>
  <tableColumns count="2">
    <tableColumn id="1" name="行ラベル" dataDxfId="604"/>
    <tableColumn id="2" name="データの個数 / 疾患名" dataDxfId="603"/>
  </tableColumns>
  <tableStyleInfo name="TableStyleMedium2" showFirstColumn="0" showLastColumn="0" showRowStripes="1" showColumnStripes="0"/>
</table>
</file>

<file path=xl/tables/table2.xml><?xml version="1.0" encoding="utf-8"?>
<table xmlns="http://schemas.openxmlformats.org/spreadsheetml/2006/main" id="11" name="年齢区分＿院内寛解" displayName="年齢区分＿院内寛解" ref="P4:Q13" totalsRowShown="0" headerRowDxfId="653" dataDxfId="652">
  <autoFilter ref="P4:Q13">
    <filterColumn colId="0" hiddenButton="1"/>
    <filterColumn colId="1" hiddenButton="1"/>
  </autoFilter>
  <tableColumns count="2">
    <tableColumn id="1" name="行ラベル" dataDxfId="651"/>
    <tableColumn id="2" name="データの個数 / 年齢" dataDxfId="650"/>
  </tableColumns>
  <tableStyleInfo name="TableStyleMedium2" showFirstColumn="0" showLastColumn="0" showRowStripes="1" showColumnStripes="0"/>
</table>
</file>

<file path=xl/tables/table20.xml><?xml version="1.0" encoding="utf-8"?>
<table xmlns="http://schemas.openxmlformats.org/spreadsheetml/2006/main" id="29" name="疾患別＿1年以上＿寛解" displayName="疾患別＿1年以上＿寛解" ref="G23:H40" totalsRowShown="0" tableBorderDxfId="602">
  <autoFilter ref="G23:H40">
    <filterColumn colId="0" hiddenButton="1"/>
    <filterColumn colId="1" hiddenButton="1"/>
  </autoFilter>
  <tableColumns count="2">
    <tableColumn id="1" name="行ラベル"/>
    <tableColumn id="2" name="データの個数 / 疾患名" dataDxfId="601"/>
  </tableColumns>
  <tableStyleInfo name="TableStyleMedium2" showFirstColumn="0" showLastColumn="0" showRowStripes="1" showColumnStripes="0"/>
</table>
</file>

<file path=xl/tables/table21.xml><?xml version="1.0" encoding="utf-8"?>
<table xmlns="http://schemas.openxmlformats.org/spreadsheetml/2006/main" id="30" name="疾患別＿1年以上＿院内寛解" displayName="疾患別＿1年以上＿院内寛解" ref="G43:H60" totalsRowShown="0" headerRowBorderDxfId="600" tableBorderDxfId="599">
  <autoFilter ref="G43:H60">
    <filterColumn colId="0" hiddenButton="1"/>
    <filterColumn colId="1" hiddenButton="1"/>
  </autoFilter>
  <tableColumns count="2">
    <tableColumn id="1" name="行ラベル" dataDxfId="598"/>
    <tableColumn id="2" name="データの個数 / 疾患名" dataDxfId="597"/>
  </tableColumns>
  <tableStyleInfo name="TableStyleMedium2" showFirstColumn="0" showLastColumn="0" showRowStripes="1" showColumnStripes="0"/>
</table>
</file>

<file path=xl/tables/table22.xml><?xml version="1.0" encoding="utf-8"?>
<table xmlns="http://schemas.openxmlformats.org/spreadsheetml/2006/main" id="1" name="年齢区分＿65歳以上" displayName="年齢区分＿65歳以上" ref="I4:J13" totalsRowShown="0">
  <autoFilter ref="I4:J13">
    <filterColumn colId="0" hiddenButton="1"/>
    <filterColumn colId="1" hiddenButton="1"/>
  </autoFilter>
  <tableColumns count="2">
    <tableColumn id="1" name="行ラベル" dataDxfId="596"/>
    <tableColumn id="2" name="データの個数 / 年齢" dataDxfId="595"/>
  </tableColumns>
  <tableStyleInfo name="TableStyleMedium2" showFirstColumn="0" showLastColumn="0" showRowStripes="1" showColumnStripes="0"/>
</table>
</file>

<file path=xl/tables/table23.xml><?xml version="1.0" encoding="utf-8"?>
<table xmlns="http://schemas.openxmlformats.org/spreadsheetml/2006/main" id="2" name="年齢区分＿65歳以上＿寛解・院内寛解" displayName="年齢区分＿65歳以上＿寛解・院内寛解" ref="L4:M13" totalsRowShown="0">
  <autoFilter ref="L4:M13">
    <filterColumn colId="0" hiddenButton="1"/>
    <filterColumn colId="1" hiddenButton="1"/>
  </autoFilter>
  <tableColumns count="2">
    <tableColumn id="1" name="行ラベル" dataDxfId="594"/>
    <tableColumn id="2" name="データの個数 / 年齢" dataDxfId="593"/>
  </tableColumns>
  <tableStyleInfo name="TableStyleMedium2" showFirstColumn="0" showLastColumn="0" showRowStripes="1" showColumnStripes="0"/>
</table>
</file>

<file path=xl/tables/table24.xml><?xml version="1.0" encoding="utf-8"?>
<table xmlns="http://schemas.openxmlformats.org/spreadsheetml/2006/main" id="12" name="入院形態＿65歳以上" displayName="入院形態＿65歳以上" ref="E4:F11" totalsRowShown="0" headerRowDxfId="592">
  <autoFilter ref="E4:F11">
    <filterColumn colId="0" hiddenButton="1"/>
    <filterColumn colId="1" hiddenButton="1"/>
  </autoFilter>
  <tableColumns count="2">
    <tableColumn id="1" name="行ラベル" dataDxfId="591"/>
    <tableColumn id="2" name="データの個数 / 入院" dataDxfId="590"/>
  </tableColumns>
  <tableStyleInfo name="TableStyleMedium2" showFirstColumn="0" showLastColumn="0" showRowStripes="1" showColumnStripes="0"/>
</table>
</file>

<file path=xl/tables/table25.xml><?xml version="1.0" encoding="utf-8"?>
<table xmlns="http://schemas.openxmlformats.org/spreadsheetml/2006/main" id="16" name="入院形態＿65歳以上＿寛解・院内寛解" displayName="入院形態＿65歳以上＿寛解・院内寛解" ref="E15:F22" totalsRowShown="0" headerRowDxfId="589">
  <autoFilter ref="E15:F22">
    <filterColumn colId="0" hiddenButton="1"/>
    <filterColumn colId="1" hiddenButton="1"/>
  </autoFilter>
  <tableColumns count="2">
    <tableColumn id="1" name="行ラベル" dataDxfId="588"/>
    <tableColumn id="2" name="データの個数 / 入院" dataDxfId="587"/>
  </tableColumns>
  <tableStyleInfo name="TableStyleMedium2" showFirstColumn="0" showLastColumn="0" showRowStripes="1" showColumnStripes="0"/>
</table>
</file>

<file path=xl/tables/table26.xml><?xml version="1.0" encoding="utf-8"?>
<table xmlns="http://schemas.openxmlformats.org/spreadsheetml/2006/main" id="25" name="疾患別＿65歳以上" displayName="疾患別＿65歳以上" ref="J5:K24" totalsRowShown="0" headerRowDxfId="586">
  <autoFilter ref="J5:K24">
    <filterColumn colId="0" hiddenButton="1"/>
    <filterColumn colId="1" hiddenButton="1"/>
  </autoFilter>
  <tableColumns count="2">
    <tableColumn id="1" name="行ラベル" dataDxfId="585"/>
    <tableColumn id="2" name="データの個数 / 疾患名" dataDxfId="584"/>
  </tableColumns>
  <tableStyleInfo name="TableStyleMedium2" showFirstColumn="0" showLastColumn="0" showRowStripes="1" showColumnStripes="0"/>
</table>
</file>

<file path=xl/tables/table27.xml><?xml version="1.0" encoding="utf-8"?>
<table xmlns="http://schemas.openxmlformats.org/spreadsheetml/2006/main" id="26" name="疾患別＿65歳以上＿寛解・院内寛解" displayName="疾患別＿65歳以上＿寛解・院内寛解" ref="J26:K43" totalsRowShown="0" tableBorderDxfId="583">
  <autoFilter ref="J26:K43">
    <filterColumn colId="0" hiddenButton="1"/>
    <filterColumn colId="1" hiddenButton="1"/>
  </autoFilter>
  <tableColumns count="2">
    <tableColumn id="1" name="行ラベル"/>
    <tableColumn id="2" name="データの個数 / 疾患名" dataDxfId="582"/>
  </tableColumns>
  <tableStyleInfo name="TableStyleMedium2" showFirstColumn="0" showLastColumn="0" showRowStripes="1" showColumnStripes="0"/>
</table>
</file>

<file path=xl/tables/table28.xml><?xml version="1.0" encoding="utf-8"?>
<table xmlns="http://schemas.openxmlformats.org/spreadsheetml/2006/main" id="27" name="在院期間＿65歳以上" displayName="在院期間＿65歳以上" ref="J5:K21" totalsRowShown="0">
  <autoFilter ref="J5:K21">
    <filterColumn colId="0" hiddenButton="1"/>
    <filterColumn colId="1" hiddenButton="1"/>
  </autoFilter>
  <tableColumns count="2">
    <tableColumn id="1" name="行ラベル" dataDxfId="581"/>
    <tableColumn id="2" name="データの個数 / 在院" dataDxfId="580"/>
  </tableColumns>
  <tableStyleInfo name="TableStyleMedium2" showFirstColumn="0" showLastColumn="0" showRowStripes="1" showColumnStripes="0"/>
</table>
</file>

<file path=xl/tables/table29.xml><?xml version="1.0" encoding="utf-8"?>
<table xmlns="http://schemas.openxmlformats.org/spreadsheetml/2006/main" id="31" name="在院期間＿65歳以上＿寛解・院内寛解" displayName="在院期間＿65歳以上＿寛解・院内寛解" ref="M5:N21" totalsRowShown="0">
  <autoFilter ref="M5:N21">
    <filterColumn colId="0" hiddenButton="1"/>
    <filterColumn colId="1" hiddenButton="1"/>
  </autoFilter>
  <tableColumns count="2">
    <tableColumn id="1" name="行ラベル" dataDxfId="579"/>
    <tableColumn id="2" name="データの個数 / 在院" dataDxfId="578"/>
  </tableColumns>
  <tableStyleInfo name="TableStyleMedium2" showFirstColumn="0" showLastColumn="0" showRowStripes="1" showColumnStripes="0"/>
</table>
</file>

<file path=xl/tables/table3.xml><?xml version="1.0" encoding="utf-8"?>
<table xmlns="http://schemas.openxmlformats.org/spreadsheetml/2006/main" id="10" name="年齢区分＿寛解" displayName="年齢区分＿寛解" ref="N4:O13" totalsRowShown="0" dataDxfId="649">
  <autoFilter ref="N4:O13">
    <filterColumn colId="0" hiddenButton="1"/>
    <filterColumn colId="1" hiddenButton="1"/>
  </autoFilter>
  <tableColumns count="2">
    <tableColumn id="1" name="行ラベル" dataDxfId="648"/>
    <tableColumn id="2" name="データの個数 / 年齢" dataDxfId="647"/>
  </tableColumns>
  <tableStyleInfo name="TableStyleMedium2" showFirstColumn="0" showLastColumn="0" showRowStripes="1" showColumnStripes="0"/>
</table>
</file>

<file path=xl/tables/table30.xml><?xml version="1.0" encoding="utf-8"?>
<table xmlns="http://schemas.openxmlformats.org/spreadsheetml/2006/main" id="32" name="退院予定有無×年齢階層" displayName="退院予定有無×年齢階層" ref="H3:J6" totalsRowShown="0">
  <autoFilter ref="H3:J6">
    <filterColumn colId="0" hiddenButton="1"/>
    <filterColumn colId="1" hiddenButton="1"/>
    <filterColumn colId="2" hiddenButton="1"/>
  </autoFilter>
  <tableColumns count="3">
    <tableColumn id="1" name="行ラベル" dataDxfId="577"/>
    <tableColumn id="2" name="65歳以上" dataDxfId="576"/>
    <tableColumn id="3" name="65歳未満"/>
  </tableColumns>
  <tableStyleInfo name="TableStyleMedium2" showFirstColumn="0" showLastColumn="0" showRowStripes="1" showColumnStripes="0"/>
</table>
</file>

<file path=xl/tables/table31.xml><?xml version="1.0" encoding="utf-8"?>
<table xmlns="http://schemas.openxmlformats.org/spreadsheetml/2006/main" id="33" name="阻害要因有無×年齢階層" displayName="阻害要因有無×年齢階層" ref="H9:J11" totalsRowShown="0">
  <autoFilter ref="H9:J11">
    <filterColumn colId="0" hiddenButton="1"/>
    <filterColumn colId="1" hiddenButton="1"/>
    <filterColumn colId="2" hiddenButton="1"/>
  </autoFilter>
  <tableColumns count="3">
    <tableColumn id="1" name="行ラベル" dataDxfId="575"/>
    <tableColumn id="2" name="65歳以上" dataDxfId="574"/>
    <tableColumn id="3" name="65歳未満" dataDxfId="573"/>
  </tableColumns>
  <tableStyleInfo name="TableStyleMedium2" showFirstColumn="0" showLastColumn="0" showRowStripes="1" showColumnStripes="0"/>
</table>
</file>

<file path=xl/tables/table32.xml><?xml version="1.0" encoding="utf-8"?>
<table xmlns="http://schemas.openxmlformats.org/spreadsheetml/2006/main" id="34" name="阻害要因×年齢階層" displayName="阻害要因×年齢階層" ref="H13:J31" totalsRowShown="0">
  <autoFilter ref="H13:J31">
    <filterColumn colId="0" hiddenButton="1"/>
    <filterColumn colId="1" hiddenButton="1"/>
    <filterColumn colId="2" hiddenButton="1"/>
  </autoFilter>
  <tableColumns count="3">
    <tableColumn id="1" name="値" dataDxfId="572"/>
    <tableColumn id="2" name="65歳以上" dataDxfId="571"/>
    <tableColumn id="3" name="65歳未満" dataDxfId="570"/>
  </tableColumns>
  <tableStyleInfo name="TableStyleMedium2" showFirstColumn="0" showLastColumn="0" showRowStripes="1" showColumnStripes="0"/>
</table>
</file>

<file path=xl/tables/table33.xml><?xml version="1.0" encoding="utf-8"?>
<table xmlns="http://schemas.openxmlformats.org/spreadsheetml/2006/main" id="35" name="退院予定有無×年齢階層＿寛解・院内寛解" displayName="退院予定有無×年齢階層＿寛解・院内寛解" ref="H35:J38" totalsRowShown="0">
  <autoFilter ref="H35:J38">
    <filterColumn colId="0" hiddenButton="1"/>
    <filterColumn colId="1" hiddenButton="1"/>
    <filterColumn colId="2" hiddenButton="1"/>
  </autoFilter>
  <tableColumns count="3">
    <tableColumn id="1" name="行ラベル" dataDxfId="569"/>
    <tableColumn id="2" name="65歳以上" dataDxfId="568"/>
    <tableColumn id="3" name="65歳未満" dataDxfId="567"/>
  </tableColumns>
  <tableStyleInfo name="TableStyleMedium2" showFirstColumn="0" showLastColumn="0" showRowStripes="1" showColumnStripes="0"/>
</table>
</file>

<file path=xl/tables/table34.xml><?xml version="1.0" encoding="utf-8"?>
<table xmlns="http://schemas.openxmlformats.org/spreadsheetml/2006/main" id="36" name="阻害要因有無×年齢階層＿寛解・院内寛解" displayName="阻害要因有無×年齢階層＿寛解・院内寛解" ref="H41:J43" totalsRowShown="0">
  <autoFilter ref="H41:J43">
    <filterColumn colId="0" hiddenButton="1"/>
    <filterColumn colId="1" hiddenButton="1"/>
    <filterColumn colId="2" hiddenButton="1"/>
  </autoFilter>
  <tableColumns count="3">
    <tableColumn id="1" name="行ラベル" dataDxfId="566"/>
    <tableColumn id="2" name="65歳以上" dataDxfId="565"/>
    <tableColumn id="3" name="65歳未満" dataDxfId="564"/>
  </tableColumns>
  <tableStyleInfo name="TableStyleMedium2" showFirstColumn="0" showLastColumn="0" showRowStripes="1" showColumnStripes="0"/>
</table>
</file>

<file path=xl/tables/table35.xml><?xml version="1.0" encoding="utf-8"?>
<table xmlns="http://schemas.openxmlformats.org/spreadsheetml/2006/main" id="37" name="阻害要因×年齢階層＿寛解・院内寛解" displayName="阻害要因×年齢階層＿寛解・院内寛解" ref="H45:J63" totalsRowShown="0">
  <autoFilter ref="H45:J63">
    <filterColumn colId="0" hiddenButton="1"/>
    <filterColumn colId="1" hiddenButton="1"/>
    <filterColumn colId="2" hiddenButton="1"/>
  </autoFilter>
  <tableColumns count="3">
    <tableColumn id="1" name="値" dataDxfId="563"/>
    <tableColumn id="2" name="65歳以上" dataDxfId="562"/>
    <tableColumn id="3" name="65歳未満" dataDxfId="561"/>
  </tableColumns>
  <tableStyleInfo name="TableStyleMedium2" showFirstColumn="0" showLastColumn="0" showRowStripes="1" showColumnStripes="0"/>
</table>
</file>

<file path=xl/tables/table36.xml><?xml version="1.0" encoding="utf-8"?>
<table xmlns="http://schemas.openxmlformats.org/spreadsheetml/2006/main" id="39" name="阻害要因有無×在院期間区分" displayName="阻害要因有無×在院期間区分" ref="L9:AB11" totalsRowShown="0" headerRowDxfId="560" dataDxfId="559">
  <autoFilter ref="L9:AB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558"/>
    <tableColumn id="2" name="01_1ヶ月未満" dataDxfId="557"/>
    <tableColumn id="3" name="02_1ヶ月～3ヶ月未満" dataDxfId="556"/>
    <tableColumn id="4" name="03_3ヶ月～6ヶ月未満" dataDxfId="555"/>
    <tableColumn id="5" name="04_6ヶ月～1年未満" dataDxfId="554"/>
    <tableColumn id="6" name="05_1年～1年6ヶ月未満" dataDxfId="553"/>
    <tableColumn id="7" name="06_1年6ヶ月～2年未満" dataDxfId="552"/>
    <tableColumn id="8" name="07_2年～3年未満" dataDxfId="551"/>
    <tableColumn id="9" name="08_3年～4年未満" dataDxfId="550"/>
    <tableColumn id="10" name="09_4年～5年未満" dataDxfId="549"/>
    <tableColumn id="11" name="10_5年～6年未満" dataDxfId="548"/>
    <tableColumn id="12" name="11_6年～7年未満" dataDxfId="547"/>
    <tableColumn id="13" name="12_7年～8年未満" dataDxfId="546"/>
    <tableColumn id="14" name="13_8年～9年未満" dataDxfId="545"/>
    <tableColumn id="15" name="14_9年～10年未満" dataDxfId="544"/>
    <tableColumn id="16" name="15_10年～20年未満" dataDxfId="543"/>
    <tableColumn id="17" name="16_ 20年以上" dataDxfId="542"/>
  </tableColumns>
  <tableStyleInfo name="TableStyleMedium2" showFirstColumn="0" showLastColumn="0" showRowStripes="1" showColumnStripes="0"/>
</table>
</file>

<file path=xl/tables/table37.xml><?xml version="1.0" encoding="utf-8"?>
<table xmlns="http://schemas.openxmlformats.org/spreadsheetml/2006/main" id="40" name="阻害要因×在院期間区分" displayName="阻害要因×在院期間区分" ref="L13:AB31" totalsRowShown="0" headerRowDxfId="541" dataDxfId="540">
  <autoFilter ref="L13:AB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値" dataDxfId="539"/>
    <tableColumn id="2" name="01_1ヶ月未満" dataDxfId="538"/>
    <tableColumn id="3" name="02_1ヶ月～3ヶ月未満" dataDxfId="537"/>
    <tableColumn id="4" name="03_3ヶ月～6ヶ月未満" dataDxfId="536"/>
    <tableColumn id="5" name="04_6ヶ月～1年未満" dataDxfId="535"/>
    <tableColumn id="6" name="05_1年～1年6ヶ月未満" dataDxfId="534"/>
    <tableColumn id="7" name="06_1年6ヶ月～2年未満" dataDxfId="533"/>
    <tableColumn id="8" name="07_2年～3年未満" dataDxfId="532"/>
    <tableColumn id="9" name="08_3年～4年未満" dataDxfId="531"/>
    <tableColumn id="10" name="09_4年～5年未満" dataDxfId="530"/>
    <tableColumn id="11" name="10_5年～6年未満" dataDxfId="529"/>
    <tableColumn id="12" name="11_6年～7年未満" dataDxfId="528"/>
    <tableColumn id="13" name="12_7年～8年未満" dataDxfId="527"/>
    <tableColumn id="14" name="13_8年～9年未満" dataDxfId="526"/>
    <tableColumn id="15" name="14_9年～10年未満" dataDxfId="525"/>
    <tableColumn id="16" name="15_10年～20年未満" dataDxfId="524"/>
    <tableColumn id="17" name="16_ 20年以上" dataDxfId="523"/>
  </tableColumns>
  <tableStyleInfo name="TableStyleMedium2" showFirstColumn="0" showLastColumn="0" showRowStripes="1" showColumnStripes="0"/>
</table>
</file>

<file path=xl/tables/table38.xml><?xml version="1.0" encoding="utf-8"?>
<table xmlns="http://schemas.openxmlformats.org/spreadsheetml/2006/main" id="42" name="退院予定有無×在院期間区分＿寛解・院内寛解" displayName="退院予定有無×在院期間区分＿寛解・院内寛解" ref="L35:AB38" totalsRowShown="0" headerRowDxfId="522" dataDxfId="521">
  <autoFilter ref="L35:AB3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520" totalsRowDxfId="519"/>
    <tableColumn id="2" name="01_1ヶ月未満" dataDxfId="518" totalsRowDxfId="517"/>
    <tableColumn id="3" name="02_1ヶ月～3ヶ月未満" dataDxfId="516" totalsRowDxfId="515"/>
    <tableColumn id="4" name="03_3ヶ月～6ヶ月未満" dataDxfId="514" totalsRowDxfId="513"/>
    <tableColumn id="5" name="04_6ヶ月～1年未満" dataDxfId="512" totalsRowDxfId="511"/>
    <tableColumn id="6" name="05_1年～1年6ヶ月未満" dataDxfId="510" totalsRowDxfId="509"/>
    <tableColumn id="7" name="06_1年6ヶ月～2年未満" dataDxfId="508" totalsRowDxfId="507"/>
    <tableColumn id="8" name="07_2年～3年未満" dataDxfId="506" totalsRowDxfId="505"/>
    <tableColumn id="9" name="08_3年～4年未満" dataDxfId="504" totalsRowDxfId="503"/>
    <tableColumn id="10" name="09_4年～5年未満" dataDxfId="502" totalsRowDxfId="501"/>
    <tableColumn id="11" name="10_5年～6年未満" dataDxfId="500" totalsRowDxfId="499"/>
    <tableColumn id="12" name="11_6年～7年未満" dataDxfId="498" totalsRowDxfId="497"/>
    <tableColumn id="13" name="12_7年～8年未満" dataDxfId="496" totalsRowDxfId="495"/>
    <tableColumn id="14" name="13_8年～9年未満" dataDxfId="494" totalsRowDxfId="493"/>
    <tableColumn id="15" name="14_9年～10年未満" dataDxfId="492" totalsRowDxfId="491"/>
    <tableColumn id="16" name="15_10年～20年未満" dataDxfId="490" totalsRowDxfId="489"/>
    <tableColumn id="17" name="16_ 20年以上" dataDxfId="488" totalsRowDxfId="487"/>
  </tableColumns>
  <tableStyleInfo name="TableStyleMedium2" showFirstColumn="0" showLastColumn="0" showRowStripes="1" showColumnStripes="0"/>
</table>
</file>

<file path=xl/tables/table39.xml><?xml version="1.0" encoding="utf-8"?>
<table xmlns="http://schemas.openxmlformats.org/spreadsheetml/2006/main" id="43" name="阻害要因有無×在院期間区分＿寛解・院内寛解" displayName="阻害要因有無×在院期間区分＿寛解・院内寛解" ref="L41:AB43" totalsRowShown="0" headerRowDxfId="486" dataDxfId="485">
  <autoFilter ref="L41:AB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484"/>
    <tableColumn id="2" name="01_1ヶ月未満" dataDxfId="483"/>
    <tableColumn id="3" name="02_1ヶ月～3ヶ月未満" dataDxfId="482"/>
    <tableColumn id="4" name="03_3ヶ月～6ヶ月未満" dataDxfId="481"/>
    <tableColumn id="5" name="04_6ヶ月～1年未満" dataDxfId="480"/>
    <tableColumn id="6" name="05_1年～1年6ヶ月未満" dataDxfId="479"/>
    <tableColumn id="7" name="06_1年6ヶ月～2年未満" dataDxfId="478"/>
    <tableColumn id="8" name="07_2年～3年未満" dataDxfId="477"/>
    <tableColumn id="9" name="08_3年～4年未満" dataDxfId="476"/>
    <tableColumn id="10" name="09_4年～5年未満" dataDxfId="475"/>
    <tableColumn id="11" name="10_5年～6年未満" dataDxfId="474"/>
    <tableColumn id="12" name="11_6年～7年未満" dataDxfId="473"/>
    <tableColumn id="13" name="12_7年～8年未満" dataDxfId="472"/>
    <tableColumn id="14" name="13_8年～9年未満" dataDxfId="471"/>
    <tableColumn id="15" name="14_9年～10年未満" dataDxfId="470"/>
    <tableColumn id="16" name="15_10年～20年未満" dataDxfId="469"/>
    <tableColumn id="17" name="16_ 20年以上" dataDxfId="468"/>
  </tableColumns>
  <tableStyleInfo name="TableStyleMedium2" showFirstColumn="0" showLastColumn="0" showRowStripes="1" showColumnStripes="0"/>
</table>
</file>

<file path=xl/tables/table4.xml><?xml version="1.0" encoding="utf-8"?>
<table xmlns="http://schemas.openxmlformats.org/spreadsheetml/2006/main" id="3" name="入院形態" displayName="入院形態" ref="G4:H11" totalsRowShown="0" headerRowDxfId="646">
  <autoFilter ref="G4:H11">
    <filterColumn colId="0" hiddenButton="1"/>
    <filterColumn colId="1" hiddenButton="1"/>
  </autoFilter>
  <tableColumns count="2">
    <tableColumn id="1" name="行ラベル" dataDxfId="645"/>
    <tableColumn id="2" name="データの個数 / 入院" dataDxfId="644"/>
  </tableColumns>
  <tableStyleInfo name="TableStyleMedium2" showFirstColumn="0" showLastColumn="0" showRowStripes="1" showColumnStripes="0"/>
</table>
</file>

<file path=xl/tables/table40.xml><?xml version="1.0" encoding="utf-8"?>
<table xmlns="http://schemas.openxmlformats.org/spreadsheetml/2006/main" id="44" name="阻害要因×在院期間区分＿寛解・院内寛解" displayName="阻害要因×在院期間区分＿寛解・院内寛解" ref="L45:AB63" totalsRowShown="0" headerRowDxfId="467" dataDxfId="466">
  <autoFilter ref="L45:AB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値" dataDxfId="465"/>
    <tableColumn id="2" name="01_1ヶ月未満" dataDxfId="464"/>
    <tableColumn id="3" name="02_1ヶ月～3ヶ月未満" dataDxfId="463"/>
    <tableColumn id="4" name="03_3ヶ月～6ヶ月未満" dataDxfId="462"/>
    <tableColumn id="5" name="04_6ヶ月～1年未満" dataDxfId="461"/>
    <tableColumn id="6" name="05_1年～1年6ヶ月未満" dataDxfId="460"/>
    <tableColumn id="7" name="06_1年6ヶ月～2年未満" dataDxfId="459"/>
    <tableColumn id="8" name="07_2年～3年未満" dataDxfId="458"/>
    <tableColumn id="9" name="08_3年～4年未満" dataDxfId="457"/>
    <tableColumn id="10" name="09_4年～5年未満" dataDxfId="456"/>
    <tableColumn id="11" name="10_5年～6年未満" dataDxfId="455"/>
    <tableColumn id="12" name="11_6年～7年未満" dataDxfId="454"/>
    <tableColumn id="13" name="12_7年～8年未満" dataDxfId="453"/>
    <tableColumn id="14" name="13_8年～9年未満" dataDxfId="452"/>
    <tableColumn id="15" name="14_9年～10年未満" dataDxfId="451"/>
    <tableColumn id="16" name="15_10年～20年未満" dataDxfId="450"/>
    <tableColumn id="17" name="16_ 20年以上" dataDxfId="449"/>
  </tableColumns>
  <tableStyleInfo name="TableStyleMedium2" showFirstColumn="0" showLastColumn="0" showRowStripes="1" showColumnStripes="0"/>
</table>
</file>

<file path=xl/tables/table41.xml><?xml version="1.0" encoding="utf-8"?>
<table xmlns="http://schemas.openxmlformats.org/spreadsheetml/2006/main" id="38" name="退院予定有無×在院期間区分" displayName="退院予定有無×在院期間区分" ref="L3:AB6" totalsRowShown="0" headerRowDxfId="448" dataDxfId="447">
  <autoFilter ref="L3:A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446"/>
    <tableColumn id="2" name="01_1ヶ月未満" dataDxfId="445"/>
    <tableColumn id="3" name="02_1ヶ月～3ヶ月未満" dataDxfId="444"/>
    <tableColumn id="4" name="03_3ヶ月～6ヶ月未満" dataDxfId="443"/>
    <tableColumn id="5" name="04_6ヶ月～1年未満" dataDxfId="442"/>
    <tableColumn id="6" name="05_1年～1年6ヶ月未満" dataDxfId="441"/>
    <tableColumn id="7" name="06_1年6ヶ月～2年未満" dataDxfId="440"/>
    <tableColumn id="8" name="07_2年～3年未満" dataDxfId="439"/>
    <tableColumn id="9" name="08_3年～4年未満" dataDxfId="438"/>
    <tableColumn id="10" name="09_4年～5年未満" dataDxfId="437"/>
    <tableColumn id="11" name="10_5年～6年未満" dataDxfId="436"/>
    <tableColumn id="12" name="11_6年～7年未満" dataDxfId="435"/>
    <tableColumn id="13" name="12_7年～8年未満" dataDxfId="434"/>
    <tableColumn id="14" name="13_8年～9年未満" dataDxfId="433"/>
    <tableColumn id="15" name="14_9年～10年未満" dataDxfId="432"/>
    <tableColumn id="16" name="15_10年～20年未満" dataDxfId="431"/>
    <tableColumn id="17" name="16_ 20年以上" dataDxfId="430"/>
  </tableColumns>
  <tableStyleInfo name="TableStyleMedium2" showFirstColumn="0" showLastColumn="0" showRowStripes="1" showColumnStripes="0"/>
</table>
</file>

<file path=xl/tables/table42.xml><?xml version="1.0" encoding="utf-8"?>
<table xmlns="http://schemas.openxmlformats.org/spreadsheetml/2006/main" id="17" name="退院予定有無×疾患名＿寛解・院内寛解" displayName="退院予定有無×疾患名＿寛解・院内寛解" ref="L37:AD40" totalsRowShown="0" headerRowDxfId="429" dataDxfId="428">
  <autoFilter ref="L37:AD4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9">
    <tableColumn id="1" name="行ラベル" dataDxfId="427"/>
    <tableColumn id="2" name="F00アルツハイマー病型認知症" dataDxfId="426"/>
    <tableColumn id="3" name="F01血管性認知症" dataDxfId="425"/>
    <tableColumn id="4" name="F02-09上記以外の症状性を含む器質性精神障害" dataDxfId="424"/>
    <tableColumn id="5" name="F10アルコール使用による精神及び行動の障害" dataDxfId="423"/>
    <tableColumn id="6" name="アルコール覚せい剤を除く精神作用物質使用による精神及び行動の障害※" dataDxfId="422"/>
    <tableColumn id="7" name="覚せい剤による精神及び行動の障害※" dataDxfId="421"/>
    <tableColumn id="8" name="F2統合失調症、統合失調症型障害及び妄想性障害" dataDxfId="420"/>
    <tableColumn id="9" name="F30‐31　躁病エピソード・双極性感情障害［躁うつ病］" dataDxfId="419"/>
    <tableColumn id="10" name="F32-39　その他の気分障害" dataDxfId="418"/>
    <tableColumn id="11" name="F4神経症性障害、ストレス関連障害及び身体表現性障害" dataDxfId="417"/>
    <tableColumn id="12" name="F5生理的障害及び身体的要因に関連した行動症候群" dataDxfId="416"/>
    <tableColumn id="13" name="F6成人のパーソナリティ及び行動の障害" dataDxfId="415"/>
    <tableColumn id="14" name="F7精神遅滞〔知的障害〕" dataDxfId="414"/>
    <tableColumn id="15" name="F8心理的発達の障害" dataDxfId="413"/>
    <tableColumn id="16" name="F9小児期及び青年期に通常発症する行動及び情緒の障害及び特定不能の精神障害" dataDxfId="412"/>
    <tableColumn id="17" name="その他" dataDxfId="411"/>
    <tableColumn id="18" name="てんかん（F0に属さないものを計上する）" dataDxfId="410"/>
    <tableColumn id="19" name="列19" dataDxfId="409"/>
  </tableColumns>
  <tableStyleInfo name="TableStyleMedium2" showFirstColumn="0" showLastColumn="0" showRowStripes="1" showColumnStripes="0"/>
</table>
</file>

<file path=xl/tables/table43.xml><?xml version="1.0" encoding="utf-8"?>
<table xmlns="http://schemas.openxmlformats.org/spreadsheetml/2006/main" id="41" name="阻害要因有無×疾患名" displayName="阻害要因有無×疾患名" ref="L10:AE12" totalsRowShown="0" headerRowDxfId="408" dataDxfId="407">
  <autoFilter ref="L10:AE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20">
    <tableColumn id="1" name="行ラベル" dataDxfId="406"/>
    <tableColumn id="2" name="F00アルツハイマー病型認知症" dataDxfId="405"/>
    <tableColumn id="3" name="F01血管性認知症" dataDxfId="404"/>
    <tableColumn id="4" name="F02-09上記以外の症状性を含む器質性精神障害" dataDxfId="403"/>
    <tableColumn id="5" name="F10アルコール使用による精神及び行動の障害" dataDxfId="402"/>
    <tableColumn id="6" name="F2統合失調症、統合失調症型障害及び妄想性障害" dataDxfId="401"/>
    <tableColumn id="7" name="F30‐31　躁病エピソード・双極性感情障害［躁うつ病］" dataDxfId="400"/>
    <tableColumn id="8" name="F32-39　その他の気分障害" dataDxfId="399"/>
    <tableColumn id="9" name="F4神経症性障害、ストレス関連障害及び身体表現性障害" dataDxfId="398"/>
    <tableColumn id="10" name="F5生理的障害及び身体的要因に関連した行動症候群" dataDxfId="397"/>
    <tableColumn id="11" name="F6成人のパーソナリティ及び行動の障害" dataDxfId="396"/>
    <tableColumn id="12" name="F7精神遅滞〔知的障害〕" dataDxfId="395"/>
    <tableColumn id="13" name="F8心理的発達の障害" dataDxfId="394"/>
    <tableColumn id="14" name="F9小児期及び青年期に通常発症する行動及び情緒の障害及び特定不能の精神障害" dataDxfId="393"/>
    <tableColumn id="15" name="アルコール覚せい剤を除く精神作用物質使用による精神及び行動の障害※" dataDxfId="392"/>
    <tableColumn id="16" name="その他" dataDxfId="391"/>
    <tableColumn id="17" name="てんかん（F0に属さないものを計上する）" dataDxfId="390"/>
    <tableColumn id="18" name="覚せい剤による精神及び行動の障害※" dataDxfId="389"/>
    <tableColumn id="19" name="F00アルツハイマー病型認知症   " dataDxfId="388"/>
    <tableColumn id="20" name="F00アルツハイマー病型認知症  " dataDxfId="387"/>
  </tableColumns>
  <tableStyleInfo name="TableStyleMedium2" showFirstColumn="0" showLastColumn="0" showRowStripes="1" showColumnStripes="0"/>
</table>
</file>

<file path=xl/tables/table44.xml><?xml version="1.0" encoding="utf-8"?>
<table xmlns="http://schemas.openxmlformats.org/spreadsheetml/2006/main" id="45" name="阻害要因×疾患名" displayName="阻害要因×疾患名" ref="L14:AE32" totalsRowShown="0" headerRowDxfId="386" dataDxfId="385">
  <autoFilter ref="L14:AE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20">
    <tableColumn id="1" name="値" dataDxfId="384"/>
    <tableColumn id="2" name="F00アルツハイマー病型認知症" dataDxfId="383"/>
    <tableColumn id="3" name="F01血管性認知症" dataDxfId="382"/>
    <tableColumn id="4" name="F02-09上記以外の症状性を含む器質性精神障害" dataDxfId="381"/>
    <tableColumn id="5" name="F10アルコール使用による精神及び行動の障害" dataDxfId="380"/>
    <tableColumn id="6" name="アルコール覚せい剤を除く精神作用物質使用による精神及び行動の障害※" dataDxfId="379"/>
    <tableColumn id="7" name="覚せい剤による精神及び行動の障害※" dataDxfId="378"/>
    <tableColumn id="8" name="F2統合失調症、統合失調症型障害及び妄想性障害" dataDxfId="377"/>
    <tableColumn id="9" name="F30‐31　躁病エピソード・双極性感情障害［躁うつ病］" dataDxfId="376"/>
    <tableColumn id="10" name="F32-39　その他の気分障害" dataDxfId="375"/>
    <tableColumn id="11" name="F4神経症性障害、ストレス関連障害及び身体表現性障害" dataDxfId="374"/>
    <tableColumn id="12" name="F5生理的障害及び身体的要因に関連した行動症候群" dataDxfId="373"/>
    <tableColumn id="13" name="F6成人のパーソナリティ及び行動の障害" dataDxfId="372"/>
    <tableColumn id="14" name="F7精神遅滞〔知的障害〕" dataDxfId="371"/>
    <tableColumn id="15" name="F8心理的発達の障害" dataDxfId="370"/>
    <tableColumn id="16" name="F9小児期及び青年期に通常発症する行動及び情緒の障害及び特定不能の精神障害" dataDxfId="369"/>
    <tableColumn id="17" name="その他" dataDxfId="368"/>
    <tableColumn id="18" name="てんかん（F0に属さないものを計上する）" dataDxfId="367"/>
    <tableColumn id="19" name="列19" dataDxfId="366"/>
    <tableColumn id="20" name="列20" dataDxfId="365"/>
  </tableColumns>
  <tableStyleInfo name="TableStyleMedium2" showFirstColumn="0" showLastColumn="0" showRowStripes="1" showColumnStripes="0"/>
</table>
</file>

<file path=xl/tables/table45.xml><?xml version="1.0" encoding="utf-8"?>
<table xmlns="http://schemas.openxmlformats.org/spreadsheetml/2006/main" id="46" name="阻害要因有無×疾患名＿寛解・院内寛解" displayName="阻害要因有無×疾患名＿寛解・院内寛解" ref="L43:AD45" totalsRowShown="0" headerRowDxfId="364" dataDxfId="363">
  <autoFilter ref="L43:AD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9">
    <tableColumn id="1" name="行ラベル" dataDxfId="362"/>
    <tableColumn id="2" name="F00アルツハイマー病型認知症" dataDxfId="361"/>
    <tableColumn id="3" name="F01血管性認知症" dataDxfId="360"/>
    <tableColumn id="4" name="F02-09上記以外の症状性を含む器質性精神障害" dataDxfId="359"/>
    <tableColumn id="5" name="F10アルコール使用による精神及び行動の障害" dataDxfId="358"/>
    <tableColumn id="6" name="F2統合失調症、統合失調症型障害及び妄想性障害" dataDxfId="357"/>
    <tableColumn id="7" name="F30‐31　躁病エピソード・双極性感情障害［躁うつ病］" dataDxfId="356"/>
    <tableColumn id="8" name="F32-39　その他の気分障害" dataDxfId="355"/>
    <tableColumn id="9" name="F4神経症性障害、ストレス関連障害及び身体表現性障害" dataDxfId="354"/>
    <tableColumn id="10" name="F5生理的障害及び身体的要因に関連した行動症候群" dataDxfId="353"/>
    <tableColumn id="11" name="F6成人のパーソナリティ及び行動の障害" dataDxfId="352"/>
    <tableColumn id="12" name="F7精神遅滞〔知的障害〕" dataDxfId="351"/>
    <tableColumn id="13" name="F8心理的発達の障害" dataDxfId="350"/>
    <tableColumn id="14" name="F9小児期及び青年期に通常発症する行動及び情緒の障害及び特定不能の精神障害" dataDxfId="349"/>
    <tableColumn id="15" name="アルコール覚せい剤を除く精神作用物質使用による精神及び行動の障害※" dataDxfId="348"/>
    <tableColumn id="16" name="その他" dataDxfId="347"/>
    <tableColumn id="17" name="てんかん（F0に属さないものを計上する）" dataDxfId="346"/>
    <tableColumn id="18" name="覚せい剤による精神及び行動の障害※" dataDxfId="345"/>
    <tableColumn id="19" name="列19" dataDxfId="344"/>
  </tableColumns>
  <tableStyleInfo name="TableStyleMedium2" showFirstColumn="0" showLastColumn="0" showRowStripes="1" showColumnStripes="0"/>
</table>
</file>

<file path=xl/tables/table46.xml><?xml version="1.0" encoding="utf-8"?>
<table xmlns="http://schemas.openxmlformats.org/spreadsheetml/2006/main" id="47" name="阻害要因×疾患名＿寛解・院内寛解" displayName="阻害要因×疾患名＿寛解・院内寛解" ref="L47:AD65" totalsRowShown="0" headerRowDxfId="343" dataDxfId="342">
  <autoFilter ref="L47:AD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9">
    <tableColumn id="1" name="値" dataDxfId="341"/>
    <tableColumn id="2" name="F00アルツハイマー病型認知症" dataDxfId="340"/>
    <tableColumn id="3" name="F01血管性認知症" dataDxfId="339"/>
    <tableColumn id="4" name="F02-09上記以外の症状性を含む器質性精神障害" dataDxfId="338"/>
    <tableColumn id="5" name="F10アルコール使用による精神及び行動の障害" dataDxfId="337"/>
    <tableColumn id="6" name="アルコール覚せい剤を除く精神作用物質使用による精神及び行動の障害※" dataDxfId="336"/>
    <tableColumn id="7" name="覚せい剤による精神及び行動の障害※" dataDxfId="335"/>
    <tableColumn id="8" name="F2統合失調症、統合失調症型障害及び妄想性障害" dataDxfId="334"/>
    <tableColumn id="9" name="F30‐31　躁病エピソード・双極性感情障害［躁うつ病］" dataDxfId="333"/>
    <tableColumn id="10" name="F32-39　その他の気分障害" dataDxfId="332"/>
    <tableColumn id="11" name="F4神経症性障害、ストレス関連障害及び身体表現性障害" dataDxfId="331"/>
    <tableColumn id="12" name="F5生理的障害及び身体的要因に関連した行動症候群" dataDxfId="330"/>
    <tableColumn id="13" name="F6成人のパーソナリティ及び行動の障害" dataDxfId="329"/>
    <tableColumn id="14" name="F7精神遅滞〔知的障害〕" dataDxfId="328"/>
    <tableColumn id="15" name="F8心理的発達の障害" dataDxfId="327"/>
    <tableColumn id="16" name="F9小児期及び青年期に通常発症する行動及び情緒の障害及び特定不能の精神障害" dataDxfId="326"/>
    <tableColumn id="17" name="その他" dataDxfId="325"/>
    <tableColumn id="18" name="てんかん（F0に属さないものを計上する）" dataDxfId="324"/>
    <tableColumn id="19" name="列19" dataDxfId="323"/>
  </tableColumns>
  <tableStyleInfo name="TableStyleMedium2" showFirstColumn="0" showLastColumn="0" showRowStripes="1" showColumnStripes="0"/>
</table>
</file>

<file path=xl/tables/table47.xml><?xml version="1.0" encoding="utf-8"?>
<table xmlns="http://schemas.openxmlformats.org/spreadsheetml/2006/main" id="18" name="退院予定有無×疾患名" displayName="退院予定有無×疾患名" ref="L4:AE7" totalsRowShown="0" headerRowDxfId="322" dataDxfId="321">
  <autoFilter ref="L4:AE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20">
    <tableColumn id="1" name="行ラベル" dataDxfId="320"/>
    <tableColumn id="2" name="F00アルツハイマー病型認知症" dataDxfId="319"/>
    <tableColumn id="3" name="F01血管性認知症" dataDxfId="318"/>
    <tableColumn id="4" name="F02-09上記以外の症状性を含む器質性精神障害" dataDxfId="317"/>
    <tableColumn id="5" name="F10アルコール使用による精神及び行動の障害" dataDxfId="316"/>
    <tableColumn id="6" name="アルコール覚せい剤を除く精神作用物質使用による精神及び行動の障害※" dataDxfId="315"/>
    <tableColumn id="7" name="覚せい剤による精神及び行動の障害※" dataDxfId="314"/>
    <tableColumn id="8" name="F2統合失調症、統合失調症型障害及び妄想性障害" dataDxfId="313"/>
    <tableColumn id="9" name="F30‐31　躁病エピソード・双極性感情障害［躁うつ病］" dataDxfId="312"/>
    <tableColumn id="10" name="F32-39　その他の気分障害" dataDxfId="311"/>
    <tableColumn id="11" name="F4神経症性障害、ストレス関連障害及び身体表現性障害" dataDxfId="310"/>
    <tableColumn id="12" name="F5生理的障害及び身体的要因に関連した行動症候群" dataDxfId="309"/>
    <tableColumn id="13" name="F6成人のパーソナリティ及び行動の障害" dataDxfId="308"/>
    <tableColumn id="14" name="F7精神遅滞〔知的障害〕" dataDxfId="307"/>
    <tableColumn id="15" name="F8心理的発達の障害" dataDxfId="306"/>
    <tableColumn id="16" name="F9小児期及び青年期に通常発症する行動及び情緒の障害及び特定不能の精神障害" dataDxfId="305"/>
    <tableColumn id="17" name="その他" dataDxfId="304"/>
    <tableColumn id="18" name="てんかん（F0に属さないものを計上する）" dataDxfId="303"/>
    <tableColumn id="19" name="F00アルツハイマー病型認知症   " dataDxfId="302"/>
    <tableColumn id="20" name="F00アルツハイマー病型認知症  " dataDxfId="301"/>
  </tableColumns>
  <tableStyleInfo name="TableStyleMedium2" showFirstColumn="0" showLastColumn="0" showRowStripes="1" showColumnStripes="0"/>
</table>
</file>

<file path=xl/tables/table48.xml><?xml version="1.0" encoding="utf-8"?>
<table xmlns="http://schemas.openxmlformats.org/spreadsheetml/2006/main" id="48" name="年齢階層×在院期間区分F2" displayName="年齢階層×在院期間区分F2" ref="O3:AE12" totalsRowShown="0" headerRowDxfId="300" dataDxfId="299">
  <autoFilter ref="O3:AE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298"/>
    <tableColumn id="2" name="02_1ヶ月～3ヶ月未満" dataDxfId="297"/>
    <tableColumn id="3" name="01_1ヶ月未満" dataDxfId="296"/>
    <tableColumn id="4" name="03_3ヶ月～6ヶ月未満" dataDxfId="295"/>
    <tableColumn id="5" name="04_6ヶ月～1年未満" dataDxfId="294"/>
    <tableColumn id="6" name="05_1年～1年6ヶ月未満" dataDxfId="293"/>
    <tableColumn id="7" name="06_1年6ヶ月～2年未満" dataDxfId="292"/>
    <tableColumn id="8" name="07_2年～3年未満" dataDxfId="291"/>
    <tableColumn id="9" name="08_3年～4年未満" dataDxfId="290"/>
    <tableColumn id="10" name="09_4年～5年未満" dataDxfId="289"/>
    <tableColumn id="11" name="10_5年～6年未満" dataDxfId="288"/>
    <tableColumn id="12" name="11_6年～7年未満" dataDxfId="287"/>
    <tableColumn id="13" name="12_7年～8年未満" dataDxfId="286"/>
    <tableColumn id="14" name="13_8年～9年未満" dataDxfId="285"/>
    <tableColumn id="15" name="14_9年～10年未満" dataDxfId="284"/>
    <tableColumn id="16" name="15_10年～20年未満" dataDxfId="283"/>
    <tableColumn id="17" name="16_ 20年以上" dataDxfId="282"/>
  </tableColumns>
  <tableStyleInfo name="TableStyleMedium2" showFirstColumn="0" showLastColumn="0" showRowStripes="1" showColumnStripes="0"/>
</table>
</file>

<file path=xl/tables/table49.xml><?xml version="1.0" encoding="utf-8"?>
<table xmlns="http://schemas.openxmlformats.org/spreadsheetml/2006/main" id="49" name="年齢階層×在院期間区分F2_65歳未満以上" displayName="年齢階層×在院期間区分F2_65歳未満以上" ref="O13:AE15" totalsRowShown="0" headerRowDxfId="281" dataDxfId="280">
  <autoFilter ref="O13:AE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279"/>
    <tableColumn id="2" name="01_1ヶ月未満" dataDxfId="278"/>
    <tableColumn id="3" name="02_1ヶ月～3ヶ月未満" dataDxfId="277"/>
    <tableColumn id="4" name="03_3ヶ月～6ヶ月未満" dataDxfId="276"/>
    <tableColumn id="5" name="04_6ヶ月～1年未満" dataDxfId="275"/>
    <tableColumn id="6" name="05_1年～1年6ヶ月未満" dataDxfId="274"/>
    <tableColumn id="7" name="06_1年6ヶ月～2年未満" dataDxfId="273"/>
    <tableColumn id="8" name="07_2年～3年未満" dataDxfId="272"/>
    <tableColumn id="9" name="08_3年～4年未満" dataDxfId="271"/>
    <tableColumn id="10" name="09_4年～5年未満" dataDxfId="270"/>
    <tableColumn id="11" name="10_5年～6年未満" dataDxfId="269"/>
    <tableColumn id="12" name="11_6年～7年未満" dataDxfId="268"/>
    <tableColumn id="13" name="12_7年～8年未満" dataDxfId="267"/>
    <tableColumn id="14" name="13_8年～9年未満" dataDxfId="266"/>
    <tableColumn id="15" name="14_9年～10年未満" dataDxfId="265"/>
    <tableColumn id="16" name="15_10年～20年未満" dataDxfId="264"/>
    <tableColumn id="17" name="16_ 20年以上" dataDxfId="263"/>
  </tableColumns>
  <tableStyleInfo name="TableStyleMedium2" showFirstColumn="0" showLastColumn="0" showRowStripes="1" showColumnStripes="0"/>
</table>
</file>

<file path=xl/tables/table5.xml><?xml version="1.0" encoding="utf-8"?>
<table xmlns="http://schemas.openxmlformats.org/spreadsheetml/2006/main" id="5" name="入院形態_寛解" displayName="入院形態_寛解" ref="G14:H21" totalsRowShown="0" headerRowDxfId="643">
  <autoFilter ref="G14:H21">
    <filterColumn colId="0" hiddenButton="1"/>
    <filterColumn colId="1" hiddenButton="1"/>
  </autoFilter>
  <tableColumns count="2">
    <tableColumn id="1" name="行ラベル" dataDxfId="642"/>
    <tableColumn id="2" name="データの個数 / 入院" dataDxfId="641"/>
  </tableColumns>
  <tableStyleInfo name="TableStyleMedium2" showFirstColumn="0" showLastColumn="0" showRowStripes="1" showColumnStripes="0"/>
</table>
</file>

<file path=xl/tables/table50.xml><?xml version="1.0" encoding="utf-8"?>
<table xmlns="http://schemas.openxmlformats.org/spreadsheetml/2006/main" id="50" name="年齢階層×在院期間区分F2＿寛解・院内寛解" displayName="年齢階層×在院期間区分F2＿寛解・院内寛解" ref="O19:AE28" totalsRowShown="0" headerRowDxfId="262" dataDxfId="261">
  <autoFilter ref="O19:AE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260"/>
    <tableColumn id="2" name="02_1ヶ月～3ヶ月未満" dataDxfId="259"/>
    <tableColumn id="3" name="01_1ヶ月未満" dataDxfId="258"/>
    <tableColumn id="4" name="03_3ヶ月～6ヶ月未満" dataDxfId="257"/>
    <tableColumn id="5" name="04_6ヶ月～1年未満" dataDxfId="256"/>
    <tableColumn id="6" name="05_1年～1年6ヶ月未満" dataDxfId="255"/>
    <tableColumn id="7" name="06_1年6ヶ月～2年未満" dataDxfId="254"/>
    <tableColumn id="8" name="07_2年～3年未満" dataDxfId="253"/>
    <tableColumn id="9" name="08_3年～4年未満" dataDxfId="252"/>
    <tableColumn id="10" name="09_4年～5年未満" dataDxfId="251"/>
    <tableColumn id="11" name="10_5年～6年未満" dataDxfId="250"/>
    <tableColumn id="12" name="11_6年～7年未満" dataDxfId="249"/>
    <tableColumn id="13" name="12_7年～8年未満" dataDxfId="248"/>
    <tableColumn id="14" name="13_8年～9年未満" dataDxfId="247"/>
    <tableColumn id="15" name="14_9年～10年未満" dataDxfId="246"/>
    <tableColumn id="16" name="15_10年～20年未満" dataDxfId="245"/>
    <tableColumn id="17" name="16_ 20年以上" dataDxfId="244"/>
  </tableColumns>
  <tableStyleInfo name="TableStyleMedium2" showFirstColumn="0" showLastColumn="0" showRowStripes="1" showColumnStripes="0"/>
</table>
</file>

<file path=xl/tables/table51.xml><?xml version="1.0" encoding="utf-8"?>
<table xmlns="http://schemas.openxmlformats.org/spreadsheetml/2006/main" id="51" name="年齢階層×在院期間区分F2_65歳未満以上＿寛解・院内寛解" displayName="年齢階層×在院期間区分F2_65歳未満以上＿寛解・院内寛解" ref="O29:AE31" totalsRowShown="0" headerRowDxfId="243">
  <autoFilter ref="O29:AE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242"/>
    <tableColumn id="2" name="01_1ヶ月未満" dataDxfId="241"/>
    <tableColumn id="3" name="02_1ヶ月～3ヶ月未満" dataDxfId="240"/>
    <tableColumn id="4" name="03_3ヶ月～6ヶ月未満" dataDxfId="239"/>
    <tableColumn id="5" name="04_6ヶ月～1年未満" dataDxfId="238"/>
    <tableColumn id="6" name="05_1年～1年6ヶ月未満" dataDxfId="237"/>
    <tableColumn id="7" name="06_1年6ヶ月～2年未満" dataDxfId="236"/>
    <tableColumn id="8" name="07_2年～3年未満" dataDxfId="235"/>
    <tableColumn id="9" name="08_3年～4年未満" dataDxfId="234"/>
    <tableColumn id="10" name="09_4年～5年未満" dataDxfId="233"/>
    <tableColumn id="11" name="10_5年～6年未満" dataDxfId="232"/>
    <tableColumn id="12" name="11_6年～7年未満" dataDxfId="231"/>
    <tableColumn id="13" name="12_7年～8年未満" dataDxfId="230"/>
    <tableColumn id="14" name="13_8年～9年未満" dataDxfId="229"/>
    <tableColumn id="15" name="14_9年～10年未満" dataDxfId="228"/>
    <tableColumn id="16" name="15_10年～20年未満" dataDxfId="227"/>
    <tableColumn id="17" name="16_ 20年以上" dataDxfId="226"/>
  </tableColumns>
  <tableStyleInfo name="TableStyleMedium2" showFirstColumn="0" showLastColumn="0" showRowStripes="1" showColumnStripes="0"/>
</table>
</file>

<file path=xl/tables/table52.xml><?xml version="1.0" encoding="utf-8"?>
<table xmlns="http://schemas.openxmlformats.org/spreadsheetml/2006/main" id="52" name="年齢階層×在院期間区分F00F01" displayName="年齢階層×在院期間区分F00F01" ref="O3:AE12" totalsRowShown="0" headerRowDxfId="225" dataDxfId="224">
  <autoFilter ref="O3:AE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223"/>
    <tableColumn id="2" name="02_1ヶ月～3ヶ月未満" dataDxfId="222"/>
    <tableColumn id="3" name="01_1ヶ月未満" dataDxfId="221"/>
    <tableColumn id="4" name="03_3ヶ月～6ヶ月未満" dataDxfId="220"/>
    <tableColumn id="5" name="04_6ヶ月～1年未満" dataDxfId="219"/>
    <tableColumn id="6" name="05_1年～1年6ヶ月未満" dataDxfId="218"/>
    <tableColumn id="7" name="06_1年6ヶ月～2年未満" dataDxfId="217"/>
    <tableColumn id="8" name="07_2年～3年未満" dataDxfId="216"/>
    <tableColumn id="9" name="08_3年～4年未満" dataDxfId="215"/>
    <tableColumn id="10" name="09_4年～5年未満" dataDxfId="214"/>
    <tableColumn id="11" name="10_5年～6年未満" dataDxfId="213"/>
    <tableColumn id="12" name="11_6年～7年未満" dataDxfId="212"/>
    <tableColumn id="13" name="12_7年～8年未満" dataDxfId="211"/>
    <tableColumn id="14" name="13_8年～9年未満" dataDxfId="210"/>
    <tableColumn id="15" name="14_9年～10年未満" dataDxfId="209"/>
    <tableColumn id="16" name="15_10年～20年未満" dataDxfId="208"/>
    <tableColumn id="17" name="16_ 20年以上" dataDxfId="207"/>
  </tableColumns>
  <tableStyleInfo name="TableStyleMedium2" showFirstColumn="0" showLastColumn="0" showRowStripes="1" showColumnStripes="0"/>
</table>
</file>

<file path=xl/tables/table53.xml><?xml version="1.0" encoding="utf-8"?>
<table xmlns="http://schemas.openxmlformats.org/spreadsheetml/2006/main" id="53" name="年齢階層×在院期間区分F00F01_65歳未満以上" displayName="年齢階層×在院期間区分F00F01_65歳未満以上" ref="O13:AE15" totalsRowShown="0" headerRowDxfId="206" dataDxfId="205">
  <autoFilter ref="O13:AE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204"/>
    <tableColumn id="2" name="01_1ヶ月未満" dataDxfId="203"/>
    <tableColumn id="3" name="02_1ヶ月～3ヶ月未満" dataDxfId="202"/>
    <tableColumn id="4" name="03_3ヶ月～6ヶ月未満" dataDxfId="201"/>
    <tableColumn id="5" name="04_6ヶ月～1年未満" dataDxfId="200"/>
    <tableColumn id="6" name="05_1年～1年6ヶ月未満" dataDxfId="199"/>
    <tableColumn id="7" name="06_1年6ヶ月～2年未満" dataDxfId="198"/>
    <tableColumn id="8" name="07_2年～3年未満" dataDxfId="197"/>
    <tableColumn id="9" name="08_3年～4年未満" dataDxfId="196"/>
    <tableColumn id="10" name="09_4年～5年未満" dataDxfId="195"/>
    <tableColumn id="11" name="10_5年～6年未満" dataDxfId="194"/>
    <tableColumn id="12" name="11_6年～7年未満" dataDxfId="193"/>
    <tableColumn id="13" name="12_7年～8年未満" dataDxfId="192"/>
    <tableColumn id="14" name="13_8年～9年未満" dataDxfId="191"/>
    <tableColumn id="15" name="14_9年～10年未満" dataDxfId="190"/>
    <tableColumn id="16" name="15_10年～20年未満" dataDxfId="189"/>
    <tableColumn id="17" name="16_ 20年以上" dataDxfId="188"/>
  </tableColumns>
  <tableStyleInfo name="TableStyleMedium2" showFirstColumn="0" showLastColumn="0" showRowStripes="1" showColumnStripes="0"/>
</table>
</file>

<file path=xl/tables/table54.xml><?xml version="1.0" encoding="utf-8"?>
<table xmlns="http://schemas.openxmlformats.org/spreadsheetml/2006/main" id="54" name="年齢階層×在院期間区分F00F01＿寛解・院内寛解" displayName="年齢階層×在院期間区分F00F01＿寛解・院内寛解" ref="O19:AE28" totalsRowShown="0" headerRowDxfId="187" dataDxfId="186">
  <autoFilter ref="O19:AE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185"/>
    <tableColumn id="2" name="02_1ヶ月～3ヶ月未満" dataDxfId="184"/>
    <tableColumn id="3" name="01_1ヶ月未満" dataDxfId="183"/>
    <tableColumn id="4" name="03_3ヶ月～6ヶ月未満" dataDxfId="182"/>
    <tableColumn id="5" name="04_6ヶ月～1年未満" dataDxfId="181"/>
    <tableColumn id="6" name="05_1年～1年6ヶ月未満" dataDxfId="180"/>
    <tableColumn id="7" name="06_1年6ヶ月～2年未満" dataDxfId="179"/>
    <tableColumn id="8" name="07_2年～3年未満" dataDxfId="178"/>
    <tableColumn id="9" name="08_3年～4年未満" dataDxfId="177"/>
    <tableColumn id="10" name="09_4年～5年未満" dataDxfId="176"/>
    <tableColumn id="11" name="11_6年～7年未満" dataDxfId="175"/>
    <tableColumn id="12" name="13_8年～9年未満" dataDxfId="174"/>
    <tableColumn id="13" name="15_10年～20年未満" dataDxfId="173"/>
    <tableColumn id="14" name="列14" dataDxfId="172"/>
    <tableColumn id="15" name="列15" dataDxfId="171"/>
    <tableColumn id="16" name="列16" dataDxfId="170"/>
    <tableColumn id="17" name="列17" dataDxfId="169"/>
  </tableColumns>
  <tableStyleInfo name="TableStyleMedium2" showFirstColumn="0" showLastColumn="0" showRowStripes="1" showColumnStripes="0"/>
</table>
</file>

<file path=xl/tables/table55.xml><?xml version="1.0" encoding="utf-8"?>
<table xmlns="http://schemas.openxmlformats.org/spreadsheetml/2006/main" id="55" name="年齢階層×在院期間区分F00F01_65歳未満以上＿寛解・院内寛解" displayName="年齢階層×在院期間区分F00F01_65歳未満以上＿寛解・院内寛解" ref="O29:AE31" totalsRowShown="0" headerRowDxfId="168">
  <autoFilter ref="O29:AE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167"/>
    <tableColumn id="2" name="01_1ヶ月未満" dataDxfId="166"/>
    <tableColumn id="3" name="02_1ヶ月～3ヶ月未満" dataDxfId="165"/>
    <tableColumn id="4" name="03_3ヶ月～6ヶ月未満" dataDxfId="164"/>
    <tableColumn id="5" name="04_6ヶ月～1年未満" dataDxfId="163"/>
    <tableColumn id="6" name="05_1年～1年6ヶ月未満" dataDxfId="162"/>
    <tableColumn id="7" name="06_1年6ヶ月～2年未満" dataDxfId="161"/>
    <tableColumn id="8" name="07_2年～3年未満" dataDxfId="160"/>
    <tableColumn id="9" name="08_3年～4年未満" dataDxfId="159"/>
    <tableColumn id="10" name="09_4年～5年未満" dataDxfId="158"/>
    <tableColumn id="11" name="11_6年～7年未満" dataDxfId="157"/>
    <tableColumn id="12" name="13_8年～9年未満" dataDxfId="156"/>
    <tableColumn id="13" name="15_10年～20年未満" dataDxfId="155"/>
    <tableColumn id="14" name="列14" dataDxfId="154"/>
    <tableColumn id="15" name="列15" dataDxfId="153"/>
    <tableColumn id="16" name="列16" dataDxfId="152"/>
    <tableColumn id="17" name="列17" dataDxfId="151"/>
  </tableColumns>
  <tableStyleInfo name="TableStyleMedium2" showFirstColumn="0" showLastColumn="0" showRowStripes="1" showColumnStripes="0"/>
</table>
</file>

<file path=xl/tables/table56.xml><?xml version="1.0" encoding="utf-8"?>
<table xmlns="http://schemas.openxmlformats.org/spreadsheetml/2006/main" id="56" name="年齢階層×在院期間区分F02F09" displayName="年齢階層×在院期間区分F02F09" ref="O4:AE13" totalsRowShown="0" headerRowDxfId="150" dataDxfId="149">
  <autoFilter ref="O4:AE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148"/>
    <tableColumn id="2" name="02_1ヶ月～3ヶ月未満" dataDxfId="147"/>
    <tableColumn id="3" name="01_1ヶ月未満" dataDxfId="146"/>
    <tableColumn id="4" name="03_3ヶ月～6ヶ月未満" dataDxfId="145"/>
    <tableColumn id="5" name="04_6ヶ月～1年未満" dataDxfId="144"/>
    <tableColumn id="6" name="05_1年～1年6ヶ月未満" dataDxfId="143"/>
    <tableColumn id="7" name="06_1年6ヶ月～2年未満" dataDxfId="142"/>
    <tableColumn id="8" name="07_2年～3年未満" dataDxfId="141"/>
    <tableColumn id="9" name="08_3年～4年未満" dataDxfId="140"/>
    <tableColumn id="10" name="09_4年～5年未満" dataDxfId="139"/>
    <tableColumn id="11" name="10_5年～6年未満" dataDxfId="138"/>
    <tableColumn id="12" name="11_6年～7年未満" dataDxfId="137"/>
    <tableColumn id="13" name="12_7年～8年未満" dataDxfId="136"/>
    <tableColumn id="14" name="13_8年～9年未満" dataDxfId="135"/>
    <tableColumn id="15" name="14_9年～10年未満" dataDxfId="134"/>
    <tableColumn id="16" name="15_10年～20年未満" dataDxfId="133"/>
    <tableColumn id="17" name="16_ 20年以上" dataDxfId="132"/>
  </tableColumns>
  <tableStyleInfo name="TableStyleMedium2" showFirstColumn="0" showLastColumn="0" showRowStripes="1" showColumnStripes="0"/>
</table>
</file>

<file path=xl/tables/table57.xml><?xml version="1.0" encoding="utf-8"?>
<table xmlns="http://schemas.openxmlformats.org/spreadsheetml/2006/main" id="57" name="年齢階層×在院期間区分F02F09_65歳未満以上" displayName="年齢階層×在院期間区分F02F09_65歳未満以上" ref="O14:AE16" totalsRowShown="0" headerRowDxfId="131" dataDxfId="130">
  <autoFilter ref="O14:AE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129"/>
    <tableColumn id="2" name="01_1ヶ月未満" dataDxfId="128"/>
    <tableColumn id="3" name="02_1ヶ月～3ヶ月未満" dataDxfId="127"/>
    <tableColumn id="4" name="03_3ヶ月～6ヶ月未満" dataDxfId="126"/>
    <tableColumn id="5" name="04_6ヶ月～1年未満" dataDxfId="125"/>
    <tableColumn id="6" name="05_1年～1年6ヶ月未満" dataDxfId="124"/>
    <tableColumn id="7" name="06_1年6ヶ月～2年未満" dataDxfId="123"/>
    <tableColumn id="8" name="07_2年～3年未満" dataDxfId="122"/>
    <tableColumn id="9" name="08_3年～4年未満" dataDxfId="121"/>
    <tableColumn id="10" name="09_4年～5年未満" dataDxfId="120"/>
    <tableColumn id="11" name="10_5年～6年未満" dataDxfId="119"/>
    <tableColumn id="12" name="11_6年～7年未満" dataDxfId="118"/>
    <tableColumn id="13" name="12_7年～8年未満" dataDxfId="117"/>
    <tableColumn id="14" name="13_8年～9年未満" dataDxfId="116"/>
    <tableColumn id="15" name="14_9年～10年未満" dataDxfId="115"/>
    <tableColumn id="16" name="15_10年～20年未満" dataDxfId="114"/>
    <tableColumn id="17" name="16_ 20年以上" dataDxfId="113"/>
  </tableColumns>
  <tableStyleInfo name="TableStyleMedium2" showFirstColumn="0" showLastColumn="0" showRowStripes="1" showColumnStripes="0"/>
</table>
</file>

<file path=xl/tables/table58.xml><?xml version="1.0" encoding="utf-8"?>
<table xmlns="http://schemas.openxmlformats.org/spreadsheetml/2006/main" id="58" name="年齢階層×在院期間区分F02F09＿寛解・院内寛解" displayName="年齢階層×在院期間区分F02F09＿寛解・院内寛解" ref="O21:AE30" totalsRowShown="0" headerRowDxfId="112" dataDxfId="111">
  <autoFilter ref="O21:AE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110"/>
    <tableColumn id="2" name="02_1ヶ月～3ヶ月未満" dataDxfId="109"/>
    <tableColumn id="3" name="01_1ヶ月未満" dataDxfId="108"/>
    <tableColumn id="4" name="03_3ヶ月～6ヶ月未満" dataDxfId="107"/>
    <tableColumn id="5" name="04_6ヶ月～1年未満" dataDxfId="106"/>
    <tableColumn id="6" name="05_1年～1年6ヶ月未満" dataDxfId="105"/>
    <tableColumn id="7" name="06_1年6ヶ月～2年未満" dataDxfId="104"/>
    <tableColumn id="8" name="07_2年～3年未満" dataDxfId="103"/>
    <tableColumn id="9" name="08_3年～4年未満" dataDxfId="102"/>
    <tableColumn id="10" name="09_4年～5年未満" dataDxfId="101"/>
    <tableColumn id="11" name="11_6年～7年未満" dataDxfId="100"/>
    <tableColumn id="12" name="12_7年～8年未満" dataDxfId="99"/>
    <tableColumn id="13" name="13_8年～9年未満" dataDxfId="98"/>
    <tableColumn id="14" name="14_9年～10年未満" dataDxfId="97"/>
    <tableColumn id="15" name="15_10年～20年未満" dataDxfId="96"/>
    <tableColumn id="16" name="列16" dataDxfId="95"/>
    <tableColumn id="17" name="列17" dataDxfId="94"/>
  </tableColumns>
  <tableStyleInfo name="TableStyleMedium2" showFirstColumn="0" showLastColumn="0" showRowStripes="1" showColumnStripes="0"/>
</table>
</file>

<file path=xl/tables/table59.xml><?xml version="1.0" encoding="utf-8"?>
<table xmlns="http://schemas.openxmlformats.org/spreadsheetml/2006/main" id="59" name="年齢階層×在院期間区分F02F09_65歳未満以上＿寛解・院内寛解" displayName="年齢階層×在院期間区分F02F09_65歳未満以上＿寛解・院内寛解" ref="O31:AE33" totalsRowShown="0" headerRowDxfId="93">
  <autoFilter ref="O31:AE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92"/>
    <tableColumn id="2" name="01_1ヶ月未満" dataDxfId="91"/>
    <tableColumn id="3" name="02_1ヶ月～3ヶ月未満" dataDxfId="90"/>
    <tableColumn id="4" name="03_3ヶ月～6ヶ月未満" dataDxfId="89"/>
    <tableColumn id="5" name="04_6ヶ月～1年未満" dataDxfId="88"/>
    <tableColumn id="6" name="05_1年～1年6ヶ月未満" dataDxfId="87"/>
    <tableColumn id="7" name="06_1年6ヶ月～2年未満" dataDxfId="86"/>
    <tableColumn id="8" name="07_2年～3年未満" dataDxfId="85"/>
    <tableColumn id="9" name="08_3年～4年未満" dataDxfId="84"/>
    <tableColumn id="10" name="09_4年～5年未満" dataDxfId="83"/>
    <tableColumn id="11" name="11_6年～7年未満" dataDxfId="82"/>
    <tableColumn id="12" name="12_7年～8年未満" dataDxfId="81"/>
    <tableColumn id="13" name="13_8年～9年未満" dataDxfId="80"/>
    <tableColumn id="14" name="14_9年～10年未満" dataDxfId="79"/>
    <tableColumn id="15" name="15_10年～20年未満" dataDxfId="78"/>
    <tableColumn id="16" name="列16" dataDxfId="77"/>
    <tableColumn id="17" name="列17" dataDxfId="76"/>
  </tableColumns>
  <tableStyleInfo name="TableStyleMedium2" showFirstColumn="0" showLastColumn="0" showRowStripes="1" showColumnStripes="0"/>
</table>
</file>

<file path=xl/tables/table6.xml><?xml version="1.0" encoding="utf-8"?>
<table xmlns="http://schemas.openxmlformats.org/spreadsheetml/2006/main" id="7" name="入院形態_院内寛解" displayName="入院形態_院内寛解" ref="J14:K21" totalsRowShown="0" headerRowDxfId="640">
  <autoFilter ref="J14:K21">
    <filterColumn colId="0" hiddenButton="1"/>
    <filterColumn colId="1" hiddenButton="1"/>
  </autoFilter>
  <tableColumns count="2">
    <tableColumn id="1" name="行ラベル" dataDxfId="639"/>
    <tableColumn id="2" name="データの個数 / 入院" dataDxfId="638"/>
  </tableColumns>
  <tableStyleInfo name="TableStyleMedium2" showFirstColumn="0" showLastColumn="0" showRowStripes="1" showColumnStripes="0"/>
</table>
</file>

<file path=xl/tables/table60.xml><?xml version="1.0" encoding="utf-8"?>
<table xmlns="http://schemas.openxmlformats.org/spreadsheetml/2006/main" id="60" name="年齢階層×在院期間区分F3" displayName="年齢階層×在院期間区分F3" ref="O3:AE12" totalsRowShown="0" headerRowDxfId="75" dataDxfId="74">
  <autoFilter ref="O3:AE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73"/>
    <tableColumn id="2" name="02_1ヶ月～3ヶ月未満" dataDxfId="72"/>
    <tableColumn id="3" name="01_1ヶ月未満" dataDxfId="71"/>
    <tableColumn id="4" name="03_3ヶ月～6ヶ月未満" dataDxfId="70"/>
    <tableColumn id="5" name="04_6ヶ月～1年未満" dataDxfId="69"/>
    <tableColumn id="6" name="05_1年～1年6ヶ月未満" dataDxfId="68"/>
    <tableColumn id="7" name="06_1年6ヶ月～2年未満" dataDxfId="67"/>
    <tableColumn id="8" name="07_2年～3年未満" dataDxfId="66"/>
    <tableColumn id="9" name="08_3年～4年未満" dataDxfId="65"/>
    <tableColumn id="10" name="09_4年～5年未満" dataDxfId="64"/>
    <tableColumn id="11" name="10_5年～6年未満" dataDxfId="63"/>
    <tableColumn id="12" name="11_6年～7年未満" dataDxfId="62"/>
    <tableColumn id="13" name="12_7年～8年未満" dataDxfId="61"/>
    <tableColumn id="14" name="13_8年～9年未満" dataDxfId="60"/>
    <tableColumn id="15" name="14_9年～10年未満" dataDxfId="59"/>
    <tableColumn id="16" name="15_10年～20年未満" dataDxfId="58"/>
    <tableColumn id="17" name="16_ 20年以上" dataDxfId="57"/>
  </tableColumns>
  <tableStyleInfo name="TableStyleMedium2" showFirstColumn="0" showLastColumn="0" showRowStripes="1" showColumnStripes="0"/>
</table>
</file>

<file path=xl/tables/table61.xml><?xml version="1.0" encoding="utf-8"?>
<table xmlns="http://schemas.openxmlformats.org/spreadsheetml/2006/main" id="61" name="年齢階層×在院期間区分F3_65歳未満以上" displayName="年齢階層×在院期間区分F3_65歳未満以上" ref="O13:AE15" totalsRowShown="0" headerRowDxfId="56" dataDxfId="55">
  <autoFilter ref="O13:AE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54"/>
    <tableColumn id="2" name="01_1ヶ月未満" dataDxfId="53"/>
    <tableColumn id="3" name="02_1ヶ月～3ヶ月未満" dataDxfId="52"/>
    <tableColumn id="4" name="03_3ヶ月～6ヶ月未満" dataDxfId="51"/>
    <tableColumn id="5" name="04_6ヶ月～1年未満" dataDxfId="50"/>
    <tableColumn id="6" name="05_1年～1年6ヶ月未満" dataDxfId="49"/>
    <tableColumn id="7" name="06_1年6ヶ月～2年未満" dataDxfId="48"/>
    <tableColumn id="8" name="07_2年～3年未満" dataDxfId="47"/>
    <tableColumn id="9" name="08_3年～4年未満" dataDxfId="46"/>
    <tableColumn id="10" name="09_4年～5年未満" dataDxfId="45"/>
    <tableColumn id="11" name="10_5年～6年未満" dataDxfId="44"/>
    <tableColumn id="12" name="11_6年～7年未満" dataDxfId="43"/>
    <tableColumn id="13" name="12_7年～8年未満" dataDxfId="42"/>
    <tableColumn id="14" name="13_8年～9年未満" dataDxfId="41"/>
    <tableColumn id="15" name="14_9年～10年未満" dataDxfId="40"/>
    <tableColumn id="16" name="15_10年～20年未満" dataDxfId="39"/>
    <tableColumn id="17" name="16_ 20年以上" dataDxfId="38"/>
  </tableColumns>
  <tableStyleInfo name="TableStyleMedium2" showFirstColumn="0" showLastColumn="0" showRowStripes="1" showColumnStripes="0"/>
</table>
</file>

<file path=xl/tables/table62.xml><?xml version="1.0" encoding="utf-8"?>
<table xmlns="http://schemas.openxmlformats.org/spreadsheetml/2006/main" id="62" name="年齢階層×在院期間区分F3＿寛解・院内寛解" displayName="年齢階層×在院期間区分F3＿寛解・院内寛解" ref="O19:AE28" totalsRowShown="0" headerRowDxfId="37" dataDxfId="36">
  <autoFilter ref="O19:AE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35"/>
    <tableColumn id="2" name="02_1ヶ月～3ヶ月未満" dataDxfId="34"/>
    <tableColumn id="3" name="01_1ヶ月未満" dataDxfId="33"/>
    <tableColumn id="4" name="03_3ヶ月～6ヶ月未満" dataDxfId="32"/>
    <tableColumn id="5" name="04_6ヶ月～1年未満" dataDxfId="31"/>
    <tableColumn id="6" name="05_1年～1年6ヶ月未満" dataDxfId="30"/>
    <tableColumn id="7" name="06_1年6ヶ月～2年未満" dataDxfId="29"/>
    <tableColumn id="8" name="07_2年～3年未満" dataDxfId="28"/>
    <tableColumn id="9" name="08_3年～4年未満" dataDxfId="27"/>
    <tableColumn id="10" name="09_4年～5年未満" dataDxfId="26"/>
    <tableColumn id="11" name="10_5年～6年未満" dataDxfId="25"/>
    <tableColumn id="12" name="11_6年～7年未満" dataDxfId="24"/>
    <tableColumn id="13" name="12_7年～8年未満" dataDxfId="23"/>
    <tableColumn id="14" name="13_8年～9年未満" dataDxfId="22"/>
    <tableColumn id="15" name="14_9年～10年未満" dataDxfId="21"/>
    <tableColumn id="16" name="15_10年～20年未満" dataDxfId="20"/>
    <tableColumn id="17" name="16_ 20年以上" dataDxfId="19"/>
  </tableColumns>
  <tableStyleInfo name="TableStyleMedium2" showFirstColumn="0" showLastColumn="0" showRowStripes="1" showColumnStripes="0"/>
</table>
</file>

<file path=xl/tables/table63.xml><?xml version="1.0" encoding="utf-8"?>
<table xmlns="http://schemas.openxmlformats.org/spreadsheetml/2006/main" id="63" name="年齢階層×在院期間区分F3_65歳未満以上＿寛解・院内寛解" displayName="年齢階層×在院期間区分F3_65歳未満以上＿寛解・院内寛解" ref="O29:AE31" totalsRowShown="0" headerRowDxfId="18" dataDxfId="17">
  <autoFilter ref="O29:AE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16"/>
    <tableColumn id="2" name="01_1ヶ月未満" dataDxfId="15"/>
    <tableColumn id="3" name="02_1ヶ月～3ヶ月未満" dataDxfId="14"/>
    <tableColumn id="4" name="03_3ヶ月～6ヶ月未満" dataDxfId="13"/>
    <tableColumn id="5" name="04_6ヶ月～1年未満" dataDxfId="12"/>
    <tableColumn id="6" name="05_1年～1年6ヶ月未満" dataDxfId="11"/>
    <tableColumn id="7" name="06_1年6ヶ月～2年未満" dataDxfId="10"/>
    <tableColumn id="8" name="07_2年～3年未満" dataDxfId="9"/>
    <tableColumn id="9" name="08_3年～4年未満" dataDxfId="8"/>
    <tableColumn id="10" name="09_4年～5年未満" dataDxfId="7"/>
    <tableColumn id="11" name="10_5年～6年未満" dataDxfId="6"/>
    <tableColumn id="12" name="11_6年～7年未満" dataDxfId="5"/>
    <tableColumn id="13" name="12_7年～8年未満" dataDxfId="4"/>
    <tableColumn id="14" name="13_8年～9年未満" dataDxfId="3"/>
    <tableColumn id="15" name="14_9年～10年未満" dataDxfId="2"/>
    <tableColumn id="16" name="15_10年～20年未満" dataDxfId="1"/>
    <tableColumn id="17" name="16_ 20年以上" dataDxfId="0"/>
  </tableColumns>
  <tableStyleInfo name="TableStyleMedium2" showFirstColumn="0" showLastColumn="0" showRowStripes="1" showColumnStripes="0"/>
</table>
</file>

<file path=xl/tables/table7.xml><?xml version="1.0" encoding="utf-8"?>
<table xmlns="http://schemas.openxmlformats.org/spreadsheetml/2006/main" id="8" name="疾患別" displayName="疾患別" ref="B23:C42" totalsRowShown="0" headerRowDxfId="637">
  <autoFilter ref="B23:C42">
    <filterColumn colId="0" hiddenButton="1"/>
    <filterColumn colId="1" hiddenButton="1"/>
  </autoFilter>
  <tableColumns count="2">
    <tableColumn id="1" name="行ラベル" dataDxfId="636"/>
    <tableColumn id="2" name="データの個数 / 疾患名" dataDxfId="635"/>
  </tableColumns>
  <tableStyleInfo name="TableStyleMedium2" showFirstColumn="0" showLastColumn="0" showRowStripes="1" showColumnStripes="0"/>
</table>
</file>

<file path=xl/tables/table8.xml><?xml version="1.0" encoding="utf-8"?>
<table xmlns="http://schemas.openxmlformats.org/spreadsheetml/2006/main" id="4" name="疾患別＿寛解" displayName="疾患別＿寛解" ref="G23:H40" totalsRowShown="0" headerRowDxfId="634" tableBorderDxfId="633">
  <autoFilter ref="G23:H40">
    <filterColumn colId="0" hiddenButton="1"/>
    <filterColumn colId="1" hiddenButton="1"/>
  </autoFilter>
  <tableColumns count="2">
    <tableColumn id="1" name="行ラベル"/>
    <tableColumn id="2" name="データの個数 / 疾患名" dataDxfId="632"/>
  </tableColumns>
  <tableStyleInfo name="TableStyleMedium2" showFirstColumn="0" showLastColumn="0" showRowStripes="1" showColumnStripes="0"/>
</table>
</file>

<file path=xl/tables/table9.xml><?xml version="1.0" encoding="utf-8"?>
<table xmlns="http://schemas.openxmlformats.org/spreadsheetml/2006/main" id="6" name="疾患別＿院内寛解" displayName="疾患別＿院内寛解" ref="G43:H61" totalsRowShown="0" headerRowDxfId="631" headerRowBorderDxfId="630" tableBorderDxfId="629">
  <autoFilter ref="G43:H61">
    <filterColumn colId="0" hiddenButton="1"/>
    <filterColumn colId="1" hiddenButton="1"/>
  </autoFilter>
  <tableColumns count="2">
    <tableColumn id="1" name="行ラベル" dataDxfId="628"/>
    <tableColumn id="2" name="データの個数 / 疾患名" dataDxfId="627"/>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table" Target="../tables/table21.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table" Target="../tables/table20.xml"/><Relationship Id="rId5" Type="http://schemas.openxmlformats.org/officeDocument/2006/relationships/table" Target="../tables/table19.xml"/><Relationship Id="rId4" Type="http://schemas.openxmlformats.org/officeDocument/2006/relationships/ctrlProp" Target="../ctrlProps/ctrlProp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trlProp" Target="../ctrlProps/ctrlProp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ctrlProp" Target="../ctrlProps/ctrlProp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table" Target="../tables/table25.xml"/><Relationship Id="rId5" Type="http://schemas.openxmlformats.org/officeDocument/2006/relationships/table" Target="../tables/table24.xml"/><Relationship Id="rId4" Type="http://schemas.openxmlformats.org/officeDocument/2006/relationships/ctrlProp" Target="../ctrlProps/ctrlProp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table" Target="../tables/table27.xml"/><Relationship Id="rId5" Type="http://schemas.openxmlformats.org/officeDocument/2006/relationships/table" Target="../tables/table26.xml"/><Relationship Id="rId4" Type="http://schemas.openxmlformats.org/officeDocument/2006/relationships/ctrlProp" Target="../ctrlProps/ctrlProp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 Id="rId6" Type="http://schemas.openxmlformats.org/officeDocument/2006/relationships/table" Target="../tables/table29.xml"/><Relationship Id="rId5" Type="http://schemas.openxmlformats.org/officeDocument/2006/relationships/table" Target="../tables/table28.xml"/><Relationship Id="rId4" Type="http://schemas.openxmlformats.org/officeDocument/2006/relationships/ctrlProp" Target="../ctrlProps/ctrlProp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trlProp" Target="../ctrlProps/ctrlProp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trlProp" Target="../ctrlProps/ctrlProp17.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33.xml"/><Relationship Id="rId3" Type="http://schemas.openxmlformats.org/officeDocument/2006/relationships/vmlDrawing" Target="../drawings/vmlDrawing18.vml"/><Relationship Id="rId7" Type="http://schemas.openxmlformats.org/officeDocument/2006/relationships/table" Target="../tables/table32.xml"/><Relationship Id="rId2" Type="http://schemas.openxmlformats.org/officeDocument/2006/relationships/drawing" Target="../drawings/drawing18.xml"/><Relationship Id="rId1" Type="http://schemas.openxmlformats.org/officeDocument/2006/relationships/printerSettings" Target="../printerSettings/printerSettings19.bin"/><Relationship Id="rId6" Type="http://schemas.openxmlformats.org/officeDocument/2006/relationships/table" Target="../tables/table31.xml"/><Relationship Id="rId5" Type="http://schemas.openxmlformats.org/officeDocument/2006/relationships/table" Target="../tables/table30.xml"/><Relationship Id="rId10" Type="http://schemas.openxmlformats.org/officeDocument/2006/relationships/table" Target="../tables/table35.xml"/><Relationship Id="rId4" Type="http://schemas.openxmlformats.org/officeDocument/2006/relationships/ctrlProp" Target="../ctrlProps/ctrlProp18.xml"/><Relationship Id="rId9" Type="http://schemas.openxmlformats.org/officeDocument/2006/relationships/table" Target="../tables/table3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39.xml"/><Relationship Id="rId3" Type="http://schemas.openxmlformats.org/officeDocument/2006/relationships/vmlDrawing" Target="../drawings/vmlDrawing19.vml"/><Relationship Id="rId7" Type="http://schemas.openxmlformats.org/officeDocument/2006/relationships/table" Target="../tables/table38.xml"/><Relationship Id="rId2" Type="http://schemas.openxmlformats.org/officeDocument/2006/relationships/drawing" Target="../drawings/drawing19.xml"/><Relationship Id="rId1" Type="http://schemas.openxmlformats.org/officeDocument/2006/relationships/printerSettings" Target="../printerSettings/printerSettings20.bin"/><Relationship Id="rId6" Type="http://schemas.openxmlformats.org/officeDocument/2006/relationships/table" Target="../tables/table37.xml"/><Relationship Id="rId5" Type="http://schemas.openxmlformats.org/officeDocument/2006/relationships/table" Target="../tables/table36.xml"/><Relationship Id="rId10" Type="http://schemas.openxmlformats.org/officeDocument/2006/relationships/table" Target="../tables/table41.xml"/><Relationship Id="rId4" Type="http://schemas.openxmlformats.org/officeDocument/2006/relationships/ctrlProp" Target="../ctrlProps/ctrlProp19.xml"/><Relationship Id="rId9" Type="http://schemas.openxmlformats.org/officeDocument/2006/relationships/table" Target="../tables/table40.xml"/></Relationships>
</file>

<file path=xl/worksheets/_rels/sheet21.xml.rels><?xml version="1.0" encoding="UTF-8" standalone="yes"?>
<Relationships xmlns="http://schemas.openxmlformats.org/package/2006/relationships"><Relationship Id="rId8" Type="http://schemas.openxmlformats.org/officeDocument/2006/relationships/table" Target="../tables/table45.xml"/><Relationship Id="rId3" Type="http://schemas.openxmlformats.org/officeDocument/2006/relationships/vmlDrawing" Target="../drawings/vmlDrawing20.vml"/><Relationship Id="rId7" Type="http://schemas.openxmlformats.org/officeDocument/2006/relationships/table" Target="../tables/table44.xml"/><Relationship Id="rId2" Type="http://schemas.openxmlformats.org/officeDocument/2006/relationships/drawing" Target="../drawings/drawing20.xml"/><Relationship Id="rId1" Type="http://schemas.openxmlformats.org/officeDocument/2006/relationships/printerSettings" Target="../printerSettings/printerSettings21.bin"/><Relationship Id="rId6" Type="http://schemas.openxmlformats.org/officeDocument/2006/relationships/table" Target="../tables/table43.xml"/><Relationship Id="rId5" Type="http://schemas.openxmlformats.org/officeDocument/2006/relationships/table" Target="../tables/table42.xml"/><Relationship Id="rId10" Type="http://schemas.openxmlformats.org/officeDocument/2006/relationships/table" Target="../tables/table47.xml"/><Relationship Id="rId4" Type="http://schemas.openxmlformats.org/officeDocument/2006/relationships/ctrlProp" Target="../ctrlProps/ctrlProp20.xml"/><Relationship Id="rId9" Type="http://schemas.openxmlformats.org/officeDocument/2006/relationships/table" Target="../tables/table46.xml"/></Relationships>
</file>

<file path=xl/worksheets/_rels/sheet22.xml.rels><?xml version="1.0" encoding="UTF-8" standalone="yes"?>
<Relationships xmlns="http://schemas.openxmlformats.org/package/2006/relationships"><Relationship Id="rId8" Type="http://schemas.openxmlformats.org/officeDocument/2006/relationships/table" Target="../tables/table51.xml"/><Relationship Id="rId3" Type="http://schemas.openxmlformats.org/officeDocument/2006/relationships/vmlDrawing" Target="../drawings/vmlDrawing21.vml"/><Relationship Id="rId7" Type="http://schemas.openxmlformats.org/officeDocument/2006/relationships/table" Target="../tables/table50.xml"/><Relationship Id="rId2" Type="http://schemas.openxmlformats.org/officeDocument/2006/relationships/drawing" Target="../drawings/drawing21.xml"/><Relationship Id="rId1" Type="http://schemas.openxmlformats.org/officeDocument/2006/relationships/printerSettings" Target="../printerSettings/printerSettings22.bin"/><Relationship Id="rId6" Type="http://schemas.openxmlformats.org/officeDocument/2006/relationships/table" Target="../tables/table49.xml"/><Relationship Id="rId5" Type="http://schemas.openxmlformats.org/officeDocument/2006/relationships/table" Target="../tables/table48.xml"/><Relationship Id="rId4" Type="http://schemas.openxmlformats.org/officeDocument/2006/relationships/ctrlProp" Target="../ctrlProps/ctrlProp21.xml"/></Relationships>
</file>

<file path=xl/worksheets/_rels/sheet23.xml.rels><?xml version="1.0" encoding="UTF-8" standalone="yes"?>
<Relationships xmlns="http://schemas.openxmlformats.org/package/2006/relationships"><Relationship Id="rId8" Type="http://schemas.openxmlformats.org/officeDocument/2006/relationships/table" Target="../tables/table55.xml"/><Relationship Id="rId3" Type="http://schemas.openxmlformats.org/officeDocument/2006/relationships/vmlDrawing" Target="../drawings/vmlDrawing22.vml"/><Relationship Id="rId7" Type="http://schemas.openxmlformats.org/officeDocument/2006/relationships/table" Target="../tables/table54.xml"/><Relationship Id="rId2" Type="http://schemas.openxmlformats.org/officeDocument/2006/relationships/drawing" Target="../drawings/drawing22.xml"/><Relationship Id="rId1" Type="http://schemas.openxmlformats.org/officeDocument/2006/relationships/printerSettings" Target="../printerSettings/printerSettings23.bin"/><Relationship Id="rId6" Type="http://schemas.openxmlformats.org/officeDocument/2006/relationships/table" Target="../tables/table53.xml"/><Relationship Id="rId5" Type="http://schemas.openxmlformats.org/officeDocument/2006/relationships/table" Target="../tables/table52.xml"/><Relationship Id="rId4" Type="http://schemas.openxmlformats.org/officeDocument/2006/relationships/ctrlProp" Target="../ctrlProps/ctrlProp22.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59.xml"/><Relationship Id="rId3" Type="http://schemas.openxmlformats.org/officeDocument/2006/relationships/vmlDrawing" Target="../drawings/vmlDrawing23.vml"/><Relationship Id="rId7" Type="http://schemas.openxmlformats.org/officeDocument/2006/relationships/table" Target="../tables/table58.xml"/><Relationship Id="rId2" Type="http://schemas.openxmlformats.org/officeDocument/2006/relationships/drawing" Target="../drawings/drawing23.xml"/><Relationship Id="rId1" Type="http://schemas.openxmlformats.org/officeDocument/2006/relationships/printerSettings" Target="../printerSettings/printerSettings24.bin"/><Relationship Id="rId6" Type="http://schemas.openxmlformats.org/officeDocument/2006/relationships/table" Target="../tables/table57.xml"/><Relationship Id="rId5" Type="http://schemas.openxmlformats.org/officeDocument/2006/relationships/table" Target="../tables/table56.xml"/><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63.xml"/><Relationship Id="rId3" Type="http://schemas.openxmlformats.org/officeDocument/2006/relationships/vmlDrawing" Target="../drawings/vmlDrawing24.vml"/><Relationship Id="rId7" Type="http://schemas.openxmlformats.org/officeDocument/2006/relationships/table" Target="../tables/table62.xml"/><Relationship Id="rId2" Type="http://schemas.openxmlformats.org/officeDocument/2006/relationships/drawing" Target="../drawings/drawing24.xml"/><Relationship Id="rId1" Type="http://schemas.openxmlformats.org/officeDocument/2006/relationships/printerSettings" Target="../printerSettings/printerSettings25.bin"/><Relationship Id="rId6" Type="http://schemas.openxmlformats.org/officeDocument/2006/relationships/table" Target="../tables/table61.xml"/><Relationship Id="rId5" Type="http://schemas.openxmlformats.org/officeDocument/2006/relationships/table" Target="../tables/table60.xml"/><Relationship Id="rId4" Type="http://schemas.openxmlformats.org/officeDocument/2006/relationships/ctrlProp" Target="../ctrlProps/ctrlProp24.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5.xml"/><Relationship Id="rId1" Type="http://schemas.openxmlformats.org/officeDocument/2006/relationships/printerSettings" Target="../printerSettings/printerSettings26.bin"/><Relationship Id="rId4" Type="http://schemas.openxmlformats.org/officeDocument/2006/relationships/ctrlProp" Target="../ctrlProps/ctrlProp25.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6.xml"/><Relationship Id="rId1" Type="http://schemas.openxmlformats.org/officeDocument/2006/relationships/printerSettings" Target="../printerSettings/printerSettings27.bin"/><Relationship Id="rId4" Type="http://schemas.openxmlformats.org/officeDocument/2006/relationships/ctrlProp" Target="../ctrlProps/ctrlProp26.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trlProp" Target="../ctrlProps/ctrlProp2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8.xml"/><Relationship Id="rId1" Type="http://schemas.openxmlformats.org/officeDocument/2006/relationships/printerSettings" Target="../printerSettings/printerSettings29.bin"/><Relationship Id="rId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table" Target="../tables/table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ctrlProp" Target="../ctrlProps/ctrlProp2.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9.xml"/><Relationship Id="rId1" Type="http://schemas.openxmlformats.org/officeDocument/2006/relationships/printerSettings" Target="../printerSettings/printerSettings30.bin"/><Relationship Id="rId4" Type="http://schemas.openxmlformats.org/officeDocument/2006/relationships/ctrlProp" Target="../ctrlProps/ctrlProp29.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0.xml"/><Relationship Id="rId1" Type="http://schemas.openxmlformats.org/officeDocument/2006/relationships/printerSettings" Target="../printerSettings/printerSettings31.bin"/><Relationship Id="rId4" Type="http://schemas.openxmlformats.org/officeDocument/2006/relationships/ctrlProp" Target="../ctrlProps/ctrlProp30.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1.xml"/><Relationship Id="rId1" Type="http://schemas.openxmlformats.org/officeDocument/2006/relationships/printerSettings" Target="../printerSettings/printerSettings32.bin"/><Relationship Id="rId4" Type="http://schemas.openxmlformats.org/officeDocument/2006/relationships/ctrlProp" Target="../ctrlProps/ctrlProp31.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2.xml"/><Relationship Id="rId1" Type="http://schemas.openxmlformats.org/officeDocument/2006/relationships/printerSettings" Target="../printerSettings/printerSettings33.bin"/><Relationship Id="rId4" Type="http://schemas.openxmlformats.org/officeDocument/2006/relationships/ctrlProp" Target="../ctrlProps/ctrlProp32.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3.xml"/><Relationship Id="rId1" Type="http://schemas.openxmlformats.org/officeDocument/2006/relationships/printerSettings" Target="../printerSettings/printerSettings34.bin"/><Relationship Id="rId4" Type="http://schemas.openxmlformats.org/officeDocument/2006/relationships/ctrlProp" Target="../ctrlProps/ctrlProp33.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4.xml"/><Relationship Id="rId1" Type="http://schemas.openxmlformats.org/officeDocument/2006/relationships/printerSettings" Target="../printerSettings/printerSettings35.bin"/><Relationship Id="rId4" Type="http://schemas.openxmlformats.org/officeDocument/2006/relationships/ctrlProp" Target="../ctrlProps/ctrlProp34.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35.xml"/><Relationship Id="rId1" Type="http://schemas.openxmlformats.org/officeDocument/2006/relationships/printerSettings" Target="../printerSettings/printerSettings36.bin"/><Relationship Id="rId4" Type="http://schemas.openxmlformats.org/officeDocument/2006/relationships/ctrlProp" Target="../ctrlProps/ctrlProp35.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36.xml"/><Relationship Id="rId1" Type="http://schemas.openxmlformats.org/officeDocument/2006/relationships/printerSettings" Target="../printerSettings/printerSettings37.bin"/><Relationship Id="rId4" Type="http://schemas.openxmlformats.org/officeDocument/2006/relationships/ctrlProp" Target="../ctrlProps/ctrlProp36.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37.xml"/><Relationship Id="rId1" Type="http://schemas.openxmlformats.org/officeDocument/2006/relationships/printerSettings" Target="../printerSettings/printerSettings38.bin"/><Relationship Id="rId4" Type="http://schemas.openxmlformats.org/officeDocument/2006/relationships/ctrlProp" Target="../ctrlProps/ctrlProp37.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38.xml"/><Relationship Id="rId1" Type="http://schemas.openxmlformats.org/officeDocument/2006/relationships/printerSettings" Target="../printerSettings/printerSettings39.bin"/><Relationship Id="rId4" Type="http://schemas.openxmlformats.org/officeDocument/2006/relationships/ctrlProp" Target="../ctrlProps/ctrlProp3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table" Target="../tables/table9.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ctrlProp" Target="../ctrlProps/ctrlProp3.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table" Target="../tables/table12.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table" Target="../tables/table15.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table" Target="../tables/table18.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
  <sheetViews>
    <sheetView tabSelected="1" view="pageBreakPreview" zoomScale="60" zoomScaleNormal="100" workbookViewId="0">
      <selection activeCell="F10" sqref="F10"/>
    </sheetView>
  </sheetViews>
  <sheetFormatPr defaultRowHeight="18.75" x14ac:dyDescent="0.15"/>
  <cols>
    <col min="1" max="1" width="56.375" style="1" customWidth="1"/>
    <col min="2" max="16384" width="9" style="1"/>
  </cols>
  <sheetData>
    <row r="1" spans="1:1" ht="153" x14ac:dyDescent="0.15">
      <c r="A1" s="625" t="s">
        <v>593</v>
      </c>
    </row>
  </sheetData>
  <phoneticPr fontId="2"/>
  <printOptions horizontalCentered="1" verticalCentered="1"/>
  <pageMargins left="0.70866141732283472" right="0.70866141732283472" top="0.74803149606299213" bottom="1.5354330708661419"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B0F0"/>
    <pageSetUpPr fitToPage="1"/>
  </sheetPr>
  <dimension ref="A1:V63"/>
  <sheetViews>
    <sheetView showGridLines="0" zoomScale="80" zoomScaleNormal="80" zoomScaleSheetLayoutView="80" zoomScalePageLayoutView="90" workbookViewId="0">
      <selection activeCell="A5" sqref="A5:B5"/>
    </sheetView>
  </sheetViews>
  <sheetFormatPr defaultRowHeight="18.75" x14ac:dyDescent="0.15"/>
  <cols>
    <col min="1" max="1" width="3.125" style="1" customWidth="1"/>
    <col min="2" max="2" width="52.5" style="1" customWidth="1"/>
    <col min="3" max="4" width="9.375" style="1" customWidth="1"/>
    <col min="5" max="5" width="4.125" style="1" customWidth="1"/>
    <col min="6" max="6" width="3.125" style="1" customWidth="1"/>
    <col min="7" max="7" width="43.75" style="1" customWidth="1"/>
    <col min="8" max="11" width="9.375" style="1" customWidth="1"/>
    <col min="12" max="12" width="5" style="1" customWidth="1"/>
    <col min="13" max="13" width="56.25" style="1" customWidth="1"/>
    <col min="14" max="14" width="7.375" style="1" hidden="1" customWidth="1"/>
    <col min="15" max="15" width="5" style="1" hidden="1" customWidth="1"/>
    <col min="16" max="16" width="6.625" style="1" hidden="1" customWidth="1"/>
    <col min="17" max="17" width="12.5" style="1" hidden="1" customWidth="1"/>
    <col min="18" max="19" width="0" style="1" hidden="1" customWidth="1"/>
    <col min="20" max="21" width="9" style="1"/>
    <col min="22" max="22" width="14.375" style="1" customWidth="1"/>
    <col min="23" max="16384" width="9" style="1"/>
  </cols>
  <sheetData>
    <row r="1" spans="1:19" s="3" customFormat="1" ht="19.5" x14ac:dyDescent="0.15">
      <c r="A1" s="2" t="s">
        <v>153</v>
      </c>
      <c r="B1" s="2"/>
    </row>
    <row r="2" spans="1:19" x14ac:dyDescent="0.15">
      <c r="A2" s="4"/>
      <c r="B2" s="4"/>
      <c r="N2" s="158"/>
      <c r="O2" s="33"/>
      <c r="P2" s="33"/>
      <c r="Q2" s="33"/>
    </row>
    <row r="3" spans="1:19" s="3" customFormat="1" ht="19.5" x14ac:dyDescent="0.15">
      <c r="A3" s="4" t="s">
        <v>13</v>
      </c>
      <c r="B3" s="4"/>
      <c r="F3" s="4" t="s">
        <v>154</v>
      </c>
      <c r="G3" s="4"/>
      <c r="N3" s="187"/>
      <c r="O3" s="38"/>
      <c r="P3" s="39"/>
      <c r="Q3" s="36"/>
      <c r="R3" s="1"/>
    </row>
    <row r="4" spans="1:19" x14ac:dyDescent="0.15">
      <c r="A4" s="319"/>
      <c r="B4" s="320"/>
      <c r="C4" s="314" t="s">
        <v>0</v>
      </c>
      <c r="D4" s="314" t="s">
        <v>1</v>
      </c>
      <c r="F4" s="321"/>
      <c r="G4" s="322"/>
      <c r="H4" s="314" t="s">
        <v>114</v>
      </c>
      <c r="I4" s="314" t="s">
        <v>116</v>
      </c>
      <c r="J4" s="314" t="s">
        <v>12</v>
      </c>
      <c r="K4" s="314" t="s">
        <v>1</v>
      </c>
      <c r="M4" s="55" t="s">
        <v>295</v>
      </c>
      <c r="N4" s="187"/>
      <c r="O4" s="411" t="s">
        <v>325</v>
      </c>
      <c r="P4" s="39"/>
      <c r="Q4" s="16" t="s">
        <v>366</v>
      </c>
    </row>
    <row r="5" spans="1:19" ht="18.75" customHeight="1" x14ac:dyDescent="0.15">
      <c r="A5" s="641" t="s">
        <v>120</v>
      </c>
      <c r="B5" s="642"/>
      <c r="C5" s="259">
        <f>SUM(C6:C8)</f>
        <v>2224</v>
      </c>
      <c r="D5" s="300">
        <f>IFERROR(C5/C$20,"-")</f>
        <v>0.24542043698962701</v>
      </c>
      <c r="F5" s="640" t="s">
        <v>120</v>
      </c>
      <c r="G5" s="637"/>
      <c r="H5" s="261">
        <f t="shared" ref="H5" si="0">SUM(H6:H8)</f>
        <v>12</v>
      </c>
      <c r="I5" s="259">
        <f t="shared" ref="I5" si="1">SUM(I6:I8)</f>
        <v>81</v>
      </c>
      <c r="J5" s="259">
        <f>SUM(H5:I5)</f>
        <v>93</v>
      </c>
      <c r="K5" s="300">
        <f>IFERROR(J5/J$20,"-")</f>
        <v>0.16817359855334538</v>
      </c>
      <c r="M5" s="55" t="s">
        <v>284</v>
      </c>
      <c r="N5" s="187"/>
      <c r="O5" s="411" t="s">
        <v>314</v>
      </c>
      <c r="P5" s="39"/>
      <c r="Q5" s="16" t="s">
        <v>367</v>
      </c>
      <c r="S5" s="38"/>
    </row>
    <row r="6" spans="1:19" ht="37.5" customHeight="1" x14ac:dyDescent="0.15">
      <c r="A6" s="252"/>
      <c r="B6" s="627" t="s">
        <v>121</v>
      </c>
      <c r="C6" s="264">
        <f>IFERROR(VLOOKUP($M4,疾患別＿1年以上[#All],2,FALSE),0)</f>
        <v>1075</v>
      </c>
      <c r="D6" s="265">
        <f t="shared" ref="D6:D19" si="2">IFERROR(C6/C$20,"-")</f>
        <v>0.11862723460604722</v>
      </c>
      <c r="F6" s="252"/>
      <c r="G6" s="626" t="s">
        <v>121</v>
      </c>
      <c r="H6" s="275">
        <f>IFERROR(VLOOKUP($M4,疾患別＿1年以上＿寛解[#All],2,FALSE),0)</f>
        <v>3</v>
      </c>
      <c r="I6" s="275">
        <f>IFERROR(VLOOKUP($M4,疾患別＿1年以上＿院内寛解[#All],2,FALSE),0)</f>
        <v>23</v>
      </c>
      <c r="J6" s="276">
        <f t="shared" ref="J6:J19" si="3">SUM(H6:I6)</f>
        <v>26</v>
      </c>
      <c r="K6" s="277">
        <f t="shared" ref="K6:K19" si="4">IFERROR(J6/J$20,"-")</f>
        <v>4.701627486437613E-2</v>
      </c>
      <c r="M6" s="55" t="s">
        <v>285</v>
      </c>
      <c r="N6" s="187"/>
      <c r="O6" s="411" t="s">
        <v>315</v>
      </c>
      <c r="P6" s="39"/>
      <c r="Q6" s="36"/>
      <c r="S6" s="172"/>
    </row>
    <row r="7" spans="1:19" x14ac:dyDescent="0.15">
      <c r="A7" s="252"/>
      <c r="B7" s="256" t="s">
        <v>106</v>
      </c>
      <c r="C7" s="266">
        <f>IFERROR(VLOOKUP($M5,疾患別＿1年以上[#All],2,FALSE),0)</f>
        <v>181</v>
      </c>
      <c r="D7" s="267">
        <f t="shared" si="2"/>
        <v>1.9973515780180976E-2</v>
      </c>
      <c r="F7" s="252"/>
      <c r="G7" s="256" t="s">
        <v>106</v>
      </c>
      <c r="H7" s="278">
        <f>IFERROR(VLOOKUP($M5,疾患別＿1年以上＿寛解[#All],2,FALSE),0)</f>
        <v>0</v>
      </c>
      <c r="I7" s="278">
        <f>IFERROR(VLOOKUP($M5,疾患別＿1年以上＿院内寛解[#All],2,FALSE),0)</f>
        <v>11</v>
      </c>
      <c r="J7" s="279">
        <f t="shared" si="3"/>
        <v>11</v>
      </c>
      <c r="K7" s="280">
        <f t="shared" si="4"/>
        <v>1.9891500904159132E-2</v>
      </c>
      <c r="M7" s="55" t="s">
        <v>286</v>
      </c>
      <c r="N7" s="187"/>
      <c r="O7" s="411" t="s">
        <v>316</v>
      </c>
      <c r="P7" s="39"/>
      <c r="Q7" s="36"/>
      <c r="S7" s="172"/>
    </row>
    <row r="8" spans="1:19" ht="37.5" x14ac:dyDescent="0.15">
      <c r="A8" s="253"/>
      <c r="B8" s="257" t="s">
        <v>19</v>
      </c>
      <c r="C8" s="268">
        <f>IFERROR(VLOOKUP($M6,疾患別＿1年以上[#All],2,FALSE),0)</f>
        <v>968</v>
      </c>
      <c r="D8" s="269">
        <f t="shared" si="2"/>
        <v>0.10681968660339881</v>
      </c>
      <c r="F8" s="284"/>
      <c r="G8" s="274" t="s">
        <v>19</v>
      </c>
      <c r="H8" s="281">
        <f>IFERROR(VLOOKUP($M6,疾患別＿1年以上＿寛解[#All],2,FALSE),0)</f>
        <v>9</v>
      </c>
      <c r="I8" s="281">
        <f>IFERROR(VLOOKUP($M6,疾患別＿1年以上＿院内寛解[#All],2,FALSE),0)</f>
        <v>47</v>
      </c>
      <c r="J8" s="282">
        <f t="shared" si="3"/>
        <v>56</v>
      </c>
      <c r="K8" s="283">
        <f t="shared" si="4"/>
        <v>0.10126582278481013</v>
      </c>
      <c r="M8" s="55" t="s">
        <v>312</v>
      </c>
      <c r="N8" s="187"/>
      <c r="O8" s="411" t="s">
        <v>317</v>
      </c>
      <c r="P8" s="39"/>
      <c r="Q8" s="36"/>
      <c r="S8" s="7"/>
    </row>
    <row r="9" spans="1:19" ht="18.75" customHeight="1" x14ac:dyDescent="0.15">
      <c r="A9" s="630" t="s">
        <v>20</v>
      </c>
      <c r="B9" s="631"/>
      <c r="C9" s="261">
        <f>IFERROR(VLOOKUP($M7,疾患別＿1年以上[#All],2,FALSE),0)+IFERROR(VLOOKUP($M8,疾患別＿1年以上[#All],2,FALSE),0)+IFERROR(VLOOKUP($M9,疾患別＿1年以上[#All],2,FALSE),0)</f>
        <v>333</v>
      </c>
      <c r="D9" s="472">
        <f t="shared" si="2"/>
        <v>3.6746854998896489E-2</v>
      </c>
      <c r="F9" s="636" t="s">
        <v>20</v>
      </c>
      <c r="G9" s="637"/>
      <c r="H9" s="261">
        <f>IFERROR(VLOOKUP($M7,疾患別＿1年以上＿寛解[#All],2,FALSE),0)+IFERROR(VLOOKUP($M8,疾患別＿1年以上＿寛解[#All],2,FALSE),0)+IFERROR(VLOOKUP($M9,疾患別＿1年以上＿寛解[#All],2,FALSE),0)</f>
        <v>4</v>
      </c>
      <c r="I9" s="261">
        <f>IFERROR(VLOOKUP($M7,疾患別＿1年以上＿院内寛解[#All],2,FALSE),0)+IFERROR(VLOOKUP($M8,疾患別＿1年以上＿院内寛解[#All],2,FALSE),0)+IFERROR(VLOOKUP($M9,疾患別＿1年以上＿院内寛解[#All],2,FALSE),0)</f>
        <v>25</v>
      </c>
      <c r="J9" s="259">
        <f t="shared" si="3"/>
        <v>29</v>
      </c>
      <c r="K9" s="471">
        <f t="shared" si="4"/>
        <v>5.2441229656419529E-2</v>
      </c>
      <c r="M9" s="55" t="s">
        <v>313</v>
      </c>
      <c r="N9" s="187"/>
      <c r="O9" s="411" t="s">
        <v>318</v>
      </c>
      <c r="P9" s="39"/>
      <c r="Q9" s="36"/>
      <c r="S9" s="172"/>
    </row>
    <row r="10" spans="1:19" ht="18.75" customHeight="1" x14ac:dyDescent="0.15">
      <c r="A10" s="630" t="s">
        <v>272</v>
      </c>
      <c r="B10" s="631"/>
      <c r="C10" s="261">
        <f>IFERROR(VLOOKUP($M10,疾患別＿1年以上[#All],2,FALSE),0)</f>
        <v>5487</v>
      </c>
      <c r="D10" s="472">
        <f t="shared" si="2"/>
        <v>0.60549547561244754</v>
      </c>
      <c r="F10" s="636" t="s">
        <v>272</v>
      </c>
      <c r="G10" s="637"/>
      <c r="H10" s="261">
        <f>IFERROR(VLOOKUP($M10,疾患別＿1年以上＿寛解[#All],2,FALSE),0)</f>
        <v>23</v>
      </c>
      <c r="I10" s="261">
        <f>IFERROR(VLOOKUP($M10,疾患別＿1年以上＿院内寛解[#All],2,FALSE),0)</f>
        <v>295</v>
      </c>
      <c r="J10" s="259">
        <f t="shared" si="3"/>
        <v>318</v>
      </c>
      <c r="K10" s="471">
        <f t="shared" si="4"/>
        <v>0.57504520795660041</v>
      </c>
      <c r="M10" s="55" t="s">
        <v>287</v>
      </c>
      <c r="N10" s="187"/>
      <c r="O10" s="411" t="s">
        <v>319</v>
      </c>
      <c r="P10" s="39"/>
      <c r="Q10" s="36"/>
      <c r="S10" s="172"/>
    </row>
    <row r="11" spans="1:19" ht="18.75" customHeight="1" x14ac:dyDescent="0.15">
      <c r="A11" s="630" t="s">
        <v>22</v>
      </c>
      <c r="B11" s="631"/>
      <c r="C11" s="261">
        <f>IFERROR(VLOOKUP($M11,疾患別＿1年以上[#All],2,FALSE),0)+IFERROR(VLOOKUP($M12,疾患別＿1年以上[#All],2,FALSE),0)</f>
        <v>623</v>
      </c>
      <c r="D11" s="472">
        <f t="shared" si="2"/>
        <v>6.8748620613551095E-2</v>
      </c>
      <c r="F11" s="636" t="s">
        <v>22</v>
      </c>
      <c r="G11" s="637"/>
      <c r="H11" s="261">
        <f>IFERROR(VLOOKUP($M11,疾患別＿1年以上＿寛解[#All],2,FALSE),0)+IFERROR(VLOOKUP($M12,疾患別＿1年以上＿寛解[#All],2,FALSE),0)</f>
        <v>10</v>
      </c>
      <c r="I11" s="261">
        <f>IFERROR(VLOOKUP($M11,疾患別＿1年以上＿院内寛解[#All],2,FALSE),0)+IFERROR(VLOOKUP($M12,疾患別＿1年以上＿院内寛解[#All],2,FALSE),0)</f>
        <v>72</v>
      </c>
      <c r="J11" s="259">
        <f t="shared" si="3"/>
        <v>82</v>
      </c>
      <c r="K11" s="471">
        <f t="shared" si="4"/>
        <v>0.14828209764918626</v>
      </c>
      <c r="M11" s="55" t="s">
        <v>288</v>
      </c>
      <c r="N11" s="187"/>
      <c r="O11" s="411" t="s">
        <v>320</v>
      </c>
      <c r="P11" s="39"/>
      <c r="Q11" s="36"/>
      <c r="S11" s="172"/>
    </row>
    <row r="12" spans="1:19" ht="38.25" customHeight="1" x14ac:dyDescent="0.15">
      <c r="A12" s="630" t="s">
        <v>24</v>
      </c>
      <c r="B12" s="631"/>
      <c r="C12" s="261">
        <f>IFERROR(VLOOKUP($M13,疾患別＿1年以上[#All],2,FALSE),0)</f>
        <v>85</v>
      </c>
      <c r="D12" s="472">
        <f t="shared" si="2"/>
        <v>9.3798278525711772E-3</v>
      </c>
      <c r="F12" s="636" t="s">
        <v>24</v>
      </c>
      <c r="G12" s="637"/>
      <c r="H12" s="261">
        <f>IFERROR(VLOOKUP($M13,疾患別＿1年以上＿寛解[#All],2,FALSE),0)</f>
        <v>2</v>
      </c>
      <c r="I12" s="261">
        <f>IFERROR(VLOOKUP($M13,疾患別＿1年以上＿院内寛解[#All],2,FALSE),0)</f>
        <v>11</v>
      </c>
      <c r="J12" s="259">
        <f t="shared" si="3"/>
        <v>13</v>
      </c>
      <c r="K12" s="471">
        <f t="shared" si="4"/>
        <v>2.3508137432188065E-2</v>
      </c>
      <c r="M12" s="55" t="s">
        <v>289</v>
      </c>
      <c r="N12" s="188"/>
      <c r="O12" s="411" t="s">
        <v>321</v>
      </c>
      <c r="P12" s="39"/>
      <c r="Q12" s="36"/>
      <c r="S12" s="172"/>
    </row>
    <row r="13" spans="1:19" ht="38.25" customHeight="1" x14ac:dyDescent="0.15">
      <c r="A13" s="630" t="s">
        <v>25</v>
      </c>
      <c r="B13" s="631"/>
      <c r="C13" s="261">
        <f>IFERROR(VLOOKUP($M14,疾患別＿1年以上[#All],2,FALSE),0)</f>
        <v>9</v>
      </c>
      <c r="D13" s="472">
        <f t="shared" si="2"/>
        <v>9.9315824321341865E-4</v>
      </c>
      <c r="F13" s="636" t="s">
        <v>25</v>
      </c>
      <c r="G13" s="637"/>
      <c r="H13" s="261">
        <f>IFERROR(VLOOKUP($M14,疾患別＿1年以上＿寛解[#All],2,FALSE),0)</f>
        <v>0</v>
      </c>
      <c r="I13" s="261">
        <f>IFERROR(VLOOKUP($M14,疾患別＿1年以上＿院内寛解[#All],2,FALSE),0)</f>
        <v>0</v>
      </c>
      <c r="J13" s="259">
        <f t="shared" si="3"/>
        <v>0</v>
      </c>
      <c r="K13" s="471">
        <f t="shared" si="4"/>
        <v>0</v>
      </c>
      <c r="M13" s="55" t="s">
        <v>290</v>
      </c>
      <c r="N13" s="188"/>
      <c r="O13" s="411" t="s">
        <v>322</v>
      </c>
      <c r="P13" s="39"/>
      <c r="Q13" s="36"/>
      <c r="S13" s="172"/>
    </row>
    <row r="14" spans="1:19" ht="18.75" customHeight="1" x14ac:dyDescent="0.15">
      <c r="A14" s="630" t="s">
        <v>256</v>
      </c>
      <c r="B14" s="631"/>
      <c r="C14" s="261">
        <f>IFERROR(VLOOKUP($M15,疾患別＿1年以上[#All],2,FALSE),0)</f>
        <v>16</v>
      </c>
      <c r="D14" s="472">
        <f t="shared" si="2"/>
        <v>1.7656146546016333E-3</v>
      </c>
      <c r="F14" s="636" t="s">
        <v>256</v>
      </c>
      <c r="G14" s="637"/>
      <c r="H14" s="261">
        <f>IFERROR(VLOOKUP($M15,疾患別＿1年以上＿寛解[#All],2,FALSE),0)</f>
        <v>0</v>
      </c>
      <c r="I14" s="261">
        <f>IFERROR(VLOOKUP($M15,疾患別＿1年以上＿院内寛解[#All],2,FALSE),0)</f>
        <v>2</v>
      </c>
      <c r="J14" s="259">
        <f t="shared" si="3"/>
        <v>2</v>
      </c>
      <c r="K14" s="471">
        <f t="shared" si="4"/>
        <v>3.616636528028933E-3</v>
      </c>
      <c r="M14" s="55" t="s">
        <v>291</v>
      </c>
      <c r="N14" s="188"/>
      <c r="O14" s="411" t="s">
        <v>323</v>
      </c>
      <c r="P14" s="39"/>
      <c r="Q14" s="36"/>
      <c r="S14" s="172"/>
    </row>
    <row r="15" spans="1:19" ht="18.75" customHeight="1" x14ac:dyDescent="0.15">
      <c r="A15" s="630" t="s">
        <v>257</v>
      </c>
      <c r="B15" s="631"/>
      <c r="C15" s="261">
        <f>IFERROR(VLOOKUP($M16,疾患別＿1年以上[#All],2,FALSE),0)</f>
        <v>154</v>
      </c>
      <c r="D15" s="472">
        <f t="shared" si="2"/>
        <v>1.6994041050540719E-2</v>
      </c>
      <c r="F15" s="636" t="s">
        <v>257</v>
      </c>
      <c r="G15" s="637"/>
      <c r="H15" s="261">
        <f>IFERROR(VLOOKUP($M16,疾患別＿1年以上＿寛解[#All],2,FALSE),0)</f>
        <v>0</v>
      </c>
      <c r="I15" s="261">
        <f>IFERROR(VLOOKUP($M16,疾患別＿1年以上＿院内寛解[#All],2,FALSE),0)</f>
        <v>6</v>
      </c>
      <c r="J15" s="259">
        <f t="shared" si="3"/>
        <v>6</v>
      </c>
      <c r="K15" s="471">
        <f t="shared" si="4"/>
        <v>1.0849909584086799E-2</v>
      </c>
      <c r="M15" s="55" t="s">
        <v>296</v>
      </c>
      <c r="N15" s="187"/>
      <c r="O15" s="411" t="s">
        <v>324</v>
      </c>
      <c r="P15" s="39"/>
      <c r="Q15" s="36"/>
      <c r="S15" s="173"/>
    </row>
    <row r="16" spans="1:19" ht="18.75" customHeight="1" x14ac:dyDescent="0.15">
      <c r="A16" s="630" t="s">
        <v>23</v>
      </c>
      <c r="B16" s="631"/>
      <c r="C16" s="261">
        <f>IFERROR(VLOOKUP($M17,疾患別＿1年以上[#All],2,FALSE),0)</f>
        <v>36</v>
      </c>
      <c r="D16" s="472">
        <f t="shared" si="2"/>
        <v>3.9726329728536746E-3</v>
      </c>
      <c r="E16" s="142"/>
      <c r="F16" s="636" t="s">
        <v>23</v>
      </c>
      <c r="G16" s="637"/>
      <c r="H16" s="261">
        <f>IFERROR(VLOOKUP($M17,疾患別＿1年以上＿寛解[#All],2,FALSE),0)</f>
        <v>0</v>
      </c>
      <c r="I16" s="261">
        <f>IFERROR(VLOOKUP($M17,疾患別＿1年以上＿院内寛解[#All],2,FALSE),0)</f>
        <v>3</v>
      </c>
      <c r="J16" s="259">
        <f t="shared" si="3"/>
        <v>3</v>
      </c>
      <c r="K16" s="471">
        <f t="shared" si="4"/>
        <v>5.4249547920433997E-3</v>
      </c>
      <c r="M16" s="55" t="s">
        <v>292</v>
      </c>
      <c r="N16" s="189"/>
      <c r="O16" s="38"/>
      <c r="P16" s="39"/>
      <c r="Q16" s="36"/>
      <c r="S16" s="173"/>
    </row>
    <row r="17" spans="1:22" ht="37.5" customHeight="1" x14ac:dyDescent="0.15">
      <c r="A17" s="630" t="s">
        <v>258</v>
      </c>
      <c r="B17" s="639"/>
      <c r="C17" s="261">
        <f>IFERROR(VLOOKUP($M18,疾患別＿1年以上[#All],2,FALSE),0)</f>
        <v>7</v>
      </c>
      <c r="D17" s="472">
        <f t="shared" si="2"/>
        <v>7.7245641138821454E-4</v>
      </c>
      <c r="E17" s="39"/>
      <c r="F17" s="636" t="s">
        <v>258</v>
      </c>
      <c r="G17" s="638"/>
      <c r="H17" s="261">
        <f>IFERROR(VLOOKUP($M18,疾患別＿1年以上＿寛解[#All],2,FALSE),0)</f>
        <v>0</v>
      </c>
      <c r="I17" s="261">
        <f>IFERROR(VLOOKUP($M18,疾患別＿1年以上＿院内寛解[#All],2,FALSE),0)</f>
        <v>1</v>
      </c>
      <c r="J17" s="259">
        <f t="shared" si="3"/>
        <v>1</v>
      </c>
      <c r="K17" s="471">
        <f t="shared" si="4"/>
        <v>1.8083182640144665E-3</v>
      </c>
      <c r="M17" s="55" t="s">
        <v>293</v>
      </c>
      <c r="N17" s="158"/>
      <c r="O17" s="38"/>
      <c r="P17" s="39"/>
      <c r="Q17" s="36"/>
      <c r="S17" s="173"/>
    </row>
    <row r="18" spans="1:22" ht="37.5" customHeight="1" x14ac:dyDescent="0.15">
      <c r="A18" s="630" t="s">
        <v>123</v>
      </c>
      <c r="B18" s="631"/>
      <c r="C18" s="261">
        <f>IFERROR(VLOOKUP($M19,疾患別＿1年以上[#All],2,FALSE),0)</f>
        <v>37</v>
      </c>
      <c r="D18" s="472">
        <f t="shared" si="2"/>
        <v>4.0829838887662768E-3</v>
      </c>
      <c r="E18" s="142"/>
      <c r="F18" s="636" t="s">
        <v>123</v>
      </c>
      <c r="G18" s="637"/>
      <c r="H18" s="261">
        <f>IFERROR(VLOOKUP($M19,疾患別＿1年以上＿寛解[#All],2,FALSE),0)</f>
        <v>0</v>
      </c>
      <c r="I18" s="261">
        <f>IFERROR(VLOOKUP($M19,疾患別＿1年以上＿院内寛解[#All],2,FALSE),0)</f>
        <v>4</v>
      </c>
      <c r="J18" s="259">
        <f t="shared" si="3"/>
        <v>4</v>
      </c>
      <c r="K18" s="471">
        <f t="shared" si="4"/>
        <v>7.2332730560578659E-3</v>
      </c>
      <c r="M18" s="55" t="s">
        <v>297</v>
      </c>
      <c r="S18" s="172"/>
    </row>
    <row r="19" spans="1:22" x14ac:dyDescent="0.15">
      <c r="A19" s="634" t="s">
        <v>18</v>
      </c>
      <c r="B19" s="635"/>
      <c r="C19" s="261">
        <f>IFERROR(VLOOKUP($M20,疾患別＿1年以上[#All],2,FALSE),0)</f>
        <v>51</v>
      </c>
      <c r="D19" s="472">
        <f t="shared" si="2"/>
        <v>5.6278967115427061E-3</v>
      </c>
      <c r="E19" s="39"/>
      <c r="F19" s="632" t="s">
        <v>18</v>
      </c>
      <c r="G19" s="633"/>
      <c r="H19" s="261">
        <f>IFERROR(VLOOKUP($M20,疾患別＿1年以上＿寛解[#All],2,FALSE),0)</f>
        <v>1</v>
      </c>
      <c r="I19" s="261">
        <f>IFERROR(VLOOKUP($M20,疾患別＿1年以上＿院内寛解[#All],2,FALSE),0)</f>
        <v>1</v>
      </c>
      <c r="J19" s="259">
        <f t="shared" si="3"/>
        <v>2</v>
      </c>
      <c r="K19" s="471">
        <f t="shared" si="4"/>
        <v>3.616636528028933E-3</v>
      </c>
      <c r="M19" s="55" t="s">
        <v>294</v>
      </c>
      <c r="S19" s="7"/>
    </row>
    <row r="20" spans="1:22" x14ac:dyDescent="0.15">
      <c r="A20" s="323" t="s">
        <v>11</v>
      </c>
      <c r="B20" s="324"/>
      <c r="C20" s="317">
        <f>SUM(C6:C19)</f>
        <v>9062</v>
      </c>
      <c r="D20" s="318">
        <f>SUM(D6:D19)</f>
        <v>1</v>
      </c>
      <c r="F20" s="325" t="s">
        <v>11</v>
      </c>
      <c r="G20" s="326"/>
      <c r="H20" s="317">
        <f>SUM(H6:H19)</f>
        <v>52</v>
      </c>
      <c r="I20" s="317">
        <f t="shared" ref="I20" si="5">SUM(I6:I19)</f>
        <v>501</v>
      </c>
      <c r="J20" s="317">
        <f>SUM(J6:J19)</f>
        <v>553</v>
      </c>
      <c r="K20" s="318">
        <f>SUM(K6:K19)</f>
        <v>1.0000000000000002</v>
      </c>
      <c r="M20" s="55" t="s">
        <v>18</v>
      </c>
      <c r="S20" s="38"/>
    </row>
    <row r="21" spans="1:22" hidden="1" x14ac:dyDescent="0.15">
      <c r="A21" s="38"/>
      <c r="B21" s="56" t="s">
        <v>63</v>
      </c>
      <c r="C21" s="45"/>
      <c r="N21" s="158"/>
      <c r="O21" s="33"/>
      <c r="P21" s="33"/>
      <c r="Q21" s="33"/>
      <c r="T21" s="190"/>
      <c r="U21" s="190"/>
      <c r="V21" s="190"/>
    </row>
    <row r="22" spans="1:22" s="3" customFormat="1" ht="20.25" hidden="1" thickBot="1" x14ac:dyDescent="0.2">
      <c r="B22" s="498" t="s">
        <v>283</v>
      </c>
      <c r="C22" s="494" t="s">
        <v>0</v>
      </c>
      <c r="D22" s="1"/>
      <c r="E22" s="1"/>
      <c r="F22" s="1"/>
      <c r="G22" s="498" t="s">
        <v>283</v>
      </c>
      <c r="H22" s="494" t="s">
        <v>28</v>
      </c>
      <c r="N22" s="187"/>
      <c r="O22" s="38"/>
      <c r="P22" s="39"/>
      <c r="Q22" s="36"/>
      <c r="R22" s="1"/>
      <c r="T22" s="38"/>
      <c r="U22" s="39"/>
      <c r="V22" s="36"/>
    </row>
    <row r="23" spans="1:22" ht="18.75" hidden="1" customHeight="1" thickTop="1" thickBot="1" x14ac:dyDescent="0.2">
      <c r="A23" s="383"/>
      <c r="B23" s="423" t="s">
        <v>370</v>
      </c>
      <c r="C23" s="35" t="s">
        <v>583</v>
      </c>
      <c r="D23" s="3"/>
      <c r="E23" s="3"/>
      <c r="F23" s="395"/>
      <c r="G23" s="423" t="s">
        <v>370</v>
      </c>
      <c r="H23" s="35" t="s">
        <v>583</v>
      </c>
      <c r="I23" s="327"/>
      <c r="J23" s="401"/>
      <c r="M23" s="187"/>
      <c r="N23" s="38"/>
      <c r="O23" s="39"/>
      <c r="P23" s="36"/>
    </row>
    <row r="24" spans="1:22" ht="18.75" hidden="1" customHeight="1" thickTop="1" x14ac:dyDescent="0.15">
      <c r="A24" s="397"/>
      <c r="B24" s="43" t="s">
        <v>295</v>
      </c>
      <c r="C24" s="161">
        <v>1075</v>
      </c>
      <c r="F24" s="396"/>
      <c r="G24" s="43" t="s">
        <v>295</v>
      </c>
      <c r="H24" s="161">
        <v>3</v>
      </c>
      <c r="I24" s="402"/>
      <c r="J24" s="401"/>
      <c r="M24" s="187"/>
      <c r="N24" s="38"/>
      <c r="O24" s="39"/>
      <c r="P24" s="36"/>
    </row>
    <row r="25" spans="1:22" ht="18.75" hidden="1" customHeight="1" x14ac:dyDescent="0.15">
      <c r="A25" s="397"/>
      <c r="B25" s="43" t="s">
        <v>284</v>
      </c>
      <c r="C25" s="161">
        <v>181</v>
      </c>
      <c r="F25" s="397"/>
      <c r="G25" s="424" t="s">
        <v>285</v>
      </c>
      <c r="H25" s="393">
        <v>9</v>
      </c>
      <c r="I25" s="402"/>
      <c r="J25" s="401"/>
      <c r="M25" s="187"/>
      <c r="N25" s="38"/>
      <c r="O25" s="39"/>
      <c r="P25" s="36"/>
    </row>
    <row r="26" spans="1:22" ht="18.75" hidden="1" customHeight="1" x14ac:dyDescent="0.15">
      <c r="A26" s="397"/>
      <c r="B26" s="43" t="s">
        <v>285</v>
      </c>
      <c r="C26" s="161">
        <v>968</v>
      </c>
      <c r="F26" s="396"/>
      <c r="G26" s="390" t="s">
        <v>286</v>
      </c>
      <c r="H26" s="391">
        <v>4</v>
      </c>
      <c r="I26" s="402"/>
      <c r="J26" s="401"/>
      <c r="M26" s="187"/>
      <c r="N26" s="38"/>
      <c r="O26" s="39"/>
      <c r="P26" s="36"/>
    </row>
    <row r="27" spans="1:22" ht="18.75" hidden="1" customHeight="1" x14ac:dyDescent="0.15">
      <c r="A27" s="397"/>
      <c r="B27" s="43" t="s">
        <v>286</v>
      </c>
      <c r="C27" s="161">
        <v>269</v>
      </c>
      <c r="F27" s="397"/>
      <c r="G27" s="392" t="s">
        <v>287</v>
      </c>
      <c r="H27" s="393">
        <v>23</v>
      </c>
      <c r="I27" s="402"/>
      <c r="J27" s="401"/>
      <c r="M27" s="187"/>
      <c r="N27" s="38"/>
      <c r="O27" s="39"/>
      <c r="P27" s="36"/>
    </row>
    <row r="28" spans="1:22" ht="18.75" hidden="1" customHeight="1" x14ac:dyDescent="0.15">
      <c r="A28" s="397"/>
      <c r="B28" s="87" t="s">
        <v>200</v>
      </c>
      <c r="C28" s="161">
        <v>29</v>
      </c>
      <c r="F28" s="396"/>
      <c r="G28" s="390" t="s">
        <v>288</v>
      </c>
      <c r="H28" s="391">
        <v>3</v>
      </c>
      <c r="I28" s="402"/>
      <c r="J28" s="401"/>
      <c r="M28" s="187"/>
      <c r="N28" s="38"/>
      <c r="O28" s="39"/>
      <c r="P28" s="36"/>
    </row>
    <row r="29" spans="1:22" ht="18.75" hidden="1" customHeight="1" x14ac:dyDescent="0.15">
      <c r="A29" s="397"/>
      <c r="B29" s="43" t="s">
        <v>201</v>
      </c>
      <c r="C29" s="161">
        <v>35</v>
      </c>
      <c r="F29" s="397"/>
      <c r="G29" s="392" t="s">
        <v>289</v>
      </c>
      <c r="H29" s="393">
        <v>7</v>
      </c>
      <c r="I29" s="402"/>
      <c r="J29" s="401"/>
      <c r="M29" s="187"/>
      <c r="N29" s="38"/>
      <c r="O29" s="39"/>
      <c r="P29" s="36"/>
    </row>
    <row r="30" spans="1:22" ht="18.75" hidden="1" customHeight="1" x14ac:dyDescent="0.15">
      <c r="A30" s="397"/>
      <c r="B30" s="43" t="s">
        <v>287</v>
      </c>
      <c r="C30" s="161">
        <v>5487</v>
      </c>
      <c r="F30" s="396"/>
      <c r="G30" s="390" t="s">
        <v>290</v>
      </c>
      <c r="H30" s="391">
        <v>2</v>
      </c>
      <c r="I30" s="402"/>
      <c r="J30" s="401"/>
      <c r="M30" s="187"/>
      <c r="N30" s="38"/>
      <c r="O30" s="39"/>
      <c r="P30" s="36"/>
    </row>
    <row r="31" spans="1:22" ht="18.75" hidden="1" customHeight="1" x14ac:dyDescent="0.15">
      <c r="A31" s="397"/>
      <c r="B31" s="43" t="s">
        <v>288</v>
      </c>
      <c r="C31" s="161">
        <v>354</v>
      </c>
      <c r="F31" s="397"/>
      <c r="G31" s="392" t="s">
        <v>18</v>
      </c>
      <c r="H31" s="393">
        <v>1</v>
      </c>
      <c r="I31" s="402"/>
      <c r="J31" s="401"/>
      <c r="M31" s="188"/>
      <c r="N31" s="38"/>
      <c r="O31" s="39"/>
      <c r="P31" s="36"/>
    </row>
    <row r="32" spans="1:22" ht="18.75" hidden="1" customHeight="1" x14ac:dyDescent="0.15">
      <c r="A32" s="397"/>
      <c r="B32" s="43" t="s">
        <v>289</v>
      </c>
      <c r="C32" s="161">
        <v>269</v>
      </c>
      <c r="F32" s="396"/>
      <c r="G32" s="390"/>
      <c r="H32" s="391"/>
      <c r="I32" s="402"/>
      <c r="J32" s="401"/>
      <c r="M32" s="188"/>
      <c r="N32" s="38"/>
      <c r="O32" s="39"/>
      <c r="P32" s="36"/>
    </row>
    <row r="33" spans="1:22" ht="18.75" hidden="1" customHeight="1" x14ac:dyDescent="0.15">
      <c r="A33" s="397"/>
      <c r="B33" s="43" t="s">
        <v>290</v>
      </c>
      <c r="C33" s="161">
        <v>85</v>
      </c>
      <c r="F33" s="397"/>
      <c r="G33" s="392"/>
      <c r="H33" s="393"/>
      <c r="I33" s="402"/>
      <c r="J33" s="401"/>
      <c r="M33" s="188"/>
      <c r="N33" s="38"/>
      <c r="O33" s="39"/>
      <c r="P33" s="36"/>
    </row>
    <row r="34" spans="1:22" ht="18.75" hidden="1" customHeight="1" x14ac:dyDescent="0.15">
      <c r="A34" s="397"/>
      <c r="B34" s="43" t="s">
        <v>291</v>
      </c>
      <c r="C34" s="161">
        <v>9</v>
      </c>
      <c r="F34" s="396"/>
      <c r="G34" s="390"/>
      <c r="H34" s="391"/>
      <c r="I34" s="402"/>
      <c r="J34" s="401"/>
      <c r="M34" s="187"/>
      <c r="N34" s="38"/>
      <c r="O34" s="39"/>
      <c r="P34" s="36"/>
    </row>
    <row r="35" spans="1:22" ht="18.75" hidden="1" customHeight="1" x14ac:dyDescent="0.15">
      <c r="A35" s="397"/>
      <c r="B35" s="43" t="s">
        <v>296</v>
      </c>
      <c r="C35" s="161">
        <v>16</v>
      </c>
      <c r="F35" s="397"/>
      <c r="G35" s="392"/>
      <c r="H35" s="393"/>
      <c r="I35" s="402"/>
      <c r="J35" s="401"/>
      <c r="M35" s="189"/>
      <c r="N35" s="38"/>
      <c r="O35" s="39"/>
      <c r="P35" s="36"/>
    </row>
    <row r="36" spans="1:22" ht="18.75" hidden="1" customHeight="1" x14ac:dyDescent="0.15">
      <c r="A36" s="397"/>
      <c r="B36" s="43" t="s">
        <v>292</v>
      </c>
      <c r="C36" s="161">
        <v>154</v>
      </c>
      <c r="F36" s="396"/>
      <c r="G36" s="390"/>
      <c r="H36" s="391"/>
      <c r="I36" s="402"/>
      <c r="J36" s="401"/>
      <c r="M36" s="158"/>
      <c r="N36" s="38"/>
      <c r="O36" s="39"/>
      <c r="P36" s="36"/>
    </row>
    <row r="37" spans="1:22" ht="18.75" hidden="1" customHeight="1" x14ac:dyDescent="0.15">
      <c r="A37" s="397"/>
      <c r="B37" s="43" t="s">
        <v>293</v>
      </c>
      <c r="C37" s="161">
        <v>36</v>
      </c>
      <c r="F37" s="397"/>
      <c r="G37" s="392"/>
      <c r="H37" s="393"/>
      <c r="I37" s="402"/>
      <c r="J37" s="401"/>
    </row>
    <row r="38" spans="1:22" ht="18.75" hidden="1" customHeight="1" x14ac:dyDescent="0.15">
      <c r="A38" s="397"/>
      <c r="B38" s="87" t="s">
        <v>297</v>
      </c>
      <c r="C38" s="161">
        <v>7</v>
      </c>
      <c r="F38" s="396"/>
      <c r="G38" s="390"/>
      <c r="H38" s="391"/>
      <c r="I38" s="402"/>
      <c r="J38" s="401"/>
    </row>
    <row r="39" spans="1:22" ht="18.75" hidden="1" customHeight="1" x14ac:dyDescent="0.15">
      <c r="A39" s="397"/>
      <c r="B39" s="43" t="s">
        <v>18</v>
      </c>
      <c r="C39" s="161">
        <v>51</v>
      </c>
      <c r="F39" s="397"/>
      <c r="G39" s="394"/>
      <c r="H39" s="393"/>
      <c r="I39" s="402"/>
      <c r="J39" s="401"/>
    </row>
    <row r="40" spans="1:22" ht="18.75" hidden="1" customHeight="1" x14ac:dyDescent="0.15">
      <c r="A40" s="397"/>
      <c r="B40" s="43" t="s">
        <v>294</v>
      </c>
      <c r="C40" s="161">
        <v>37</v>
      </c>
      <c r="F40" s="396"/>
      <c r="G40" s="389"/>
      <c r="H40" s="388"/>
      <c r="I40" s="402"/>
      <c r="J40" s="401"/>
    </row>
    <row r="41" spans="1:22" ht="18.75" hidden="1" customHeight="1" x14ac:dyDescent="0.15">
      <c r="A41" s="397"/>
      <c r="B41" s="43"/>
      <c r="C41" s="161"/>
      <c r="F41" s="396"/>
      <c r="G41" s="407"/>
      <c r="H41" s="505"/>
      <c r="I41" s="402"/>
      <c r="J41" s="401"/>
    </row>
    <row r="42" spans="1:22" ht="18.75" hidden="1" customHeight="1" thickBot="1" x14ac:dyDescent="0.2">
      <c r="A42" s="22"/>
      <c r="G42" s="498" t="s">
        <v>283</v>
      </c>
      <c r="H42" s="494" t="s">
        <v>369</v>
      </c>
      <c r="I42" s="22"/>
      <c r="J42" s="22"/>
    </row>
    <row r="43" spans="1:22" ht="18.75" hidden="1" customHeight="1" thickTop="1" thickBot="1" x14ac:dyDescent="0.2">
      <c r="A43" s="22"/>
      <c r="G43" s="423" t="s">
        <v>370</v>
      </c>
      <c r="H43" s="35" t="s">
        <v>583</v>
      </c>
      <c r="I43" s="22"/>
      <c r="J43" s="22"/>
    </row>
    <row r="44" spans="1:22" ht="18.75" hidden="1" customHeight="1" thickTop="1" x14ac:dyDescent="0.15">
      <c r="A44" s="22"/>
      <c r="G44" s="424" t="s">
        <v>295</v>
      </c>
      <c r="H44" s="393">
        <v>23</v>
      </c>
      <c r="I44" s="22"/>
      <c r="J44" s="22"/>
      <c r="N44" s="187"/>
      <c r="O44" s="38"/>
      <c r="P44" s="39"/>
      <c r="Q44" s="36"/>
      <c r="T44" s="38"/>
      <c r="U44" s="39"/>
      <c r="V44" s="36"/>
    </row>
    <row r="45" spans="1:22" ht="18.75" hidden="1" customHeight="1" x14ac:dyDescent="0.15">
      <c r="A45" s="22"/>
      <c r="G45" s="424" t="s">
        <v>284</v>
      </c>
      <c r="H45" s="393">
        <v>11</v>
      </c>
      <c r="I45" s="22"/>
      <c r="J45" s="22"/>
      <c r="N45" s="187"/>
      <c r="O45" s="38"/>
      <c r="P45" s="39"/>
      <c r="Q45" s="36"/>
      <c r="T45" s="38"/>
      <c r="U45" s="39"/>
      <c r="V45" s="36"/>
    </row>
    <row r="46" spans="1:22" ht="18.75" hidden="1" customHeight="1" x14ac:dyDescent="0.15">
      <c r="A46" s="22"/>
      <c r="G46" s="424" t="s">
        <v>285</v>
      </c>
      <c r="H46" s="393">
        <v>47</v>
      </c>
      <c r="I46" s="22"/>
      <c r="J46" s="22"/>
      <c r="N46" s="187"/>
      <c r="O46" s="38"/>
      <c r="P46" s="39"/>
      <c r="Q46" s="36"/>
      <c r="T46" s="38"/>
      <c r="U46" s="39"/>
      <c r="V46" s="36"/>
    </row>
    <row r="47" spans="1:22" ht="18.75" hidden="1" customHeight="1" x14ac:dyDescent="0.15">
      <c r="A47" s="22"/>
      <c r="G47" s="424" t="s">
        <v>286</v>
      </c>
      <c r="H47" s="393">
        <v>23</v>
      </c>
      <c r="I47" s="22"/>
      <c r="J47" s="22"/>
      <c r="N47" s="187"/>
      <c r="O47" s="38"/>
      <c r="P47" s="39"/>
      <c r="Q47" s="36"/>
      <c r="T47" s="38"/>
      <c r="U47" s="39"/>
      <c r="V47" s="36"/>
    </row>
    <row r="48" spans="1:22" ht="18.75" hidden="1" customHeight="1" x14ac:dyDescent="0.15">
      <c r="A48" s="22"/>
      <c r="G48" s="424" t="s">
        <v>200</v>
      </c>
      <c r="H48" s="393">
        <v>1</v>
      </c>
      <c r="I48" s="22"/>
      <c r="J48" s="22"/>
      <c r="N48" s="187"/>
      <c r="O48" s="38"/>
      <c r="P48" s="39"/>
      <c r="Q48" s="36"/>
      <c r="T48" s="38"/>
      <c r="U48" s="39"/>
      <c r="V48" s="36"/>
    </row>
    <row r="49" spans="1:22" ht="18.75" hidden="1" customHeight="1" x14ac:dyDescent="0.15">
      <c r="A49" s="22"/>
      <c r="G49" s="424" t="s">
        <v>201</v>
      </c>
      <c r="H49" s="393">
        <v>1</v>
      </c>
      <c r="I49" s="22"/>
      <c r="J49" s="22"/>
      <c r="N49" s="187"/>
      <c r="O49" s="38"/>
      <c r="P49" s="39"/>
      <c r="Q49" s="36"/>
      <c r="T49" s="38"/>
      <c r="U49" s="39"/>
      <c r="V49" s="36"/>
    </row>
    <row r="50" spans="1:22" ht="18.75" hidden="1" customHeight="1" x14ac:dyDescent="0.15">
      <c r="A50" s="22"/>
      <c r="G50" s="424" t="s">
        <v>287</v>
      </c>
      <c r="H50" s="393">
        <v>295</v>
      </c>
      <c r="I50" s="22"/>
      <c r="J50" s="22"/>
      <c r="N50" s="188"/>
      <c r="O50" s="38"/>
      <c r="P50" s="39"/>
      <c r="Q50" s="36"/>
      <c r="T50" s="38"/>
      <c r="U50" s="39"/>
      <c r="V50" s="36"/>
    </row>
    <row r="51" spans="1:22" ht="18.75" hidden="1" customHeight="1" x14ac:dyDescent="0.15">
      <c r="G51" s="424" t="s">
        <v>288</v>
      </c>
      <c r="H51" s="393">
        <v>37</v>
      </c>
      <c r="N51" s="188"/>
      <c r="O51" s="38"/>
      <c r="P51" s="39"/>
      <c r="Q51" s="36"/>
      <c r="T51" s="38"/>
      <c r="U51" s="39"/>
      <c r="V51" s="36"/>
    </row>
    <row r="52" spans="1:22" ht="18.75" hidden="1" customHeight="1" x14ac:dyDescent="0.15">
      <c r="G52" s="424" t="s">
        <v>289</v>
      </c>
      <c r="H52" s="393">
        <v>35</v>
      </c>
      <c r="N52" s="188"/>
      <c r="T52" s="38"/>
      <c r="U52" s="39"/>
      <c r="V52" s="36"/>
    </row>
    <row r="53" spans="1:22" ht="18.75" hidden="1" customHeight="1" x14ac:dyDescent="0.15">
      <c r="G53" s="424" t="s">
        <v>290</v>
      </c>
      <c r="H53" s="393">
        <v>11</v>
      </c>
      <c r="N53" s="187"/>
      <c r="T53" s="38"/>
      <c r="U53" s="39"/>
      <c r="V53" s="36"/>
    </row>
    <row r="54" spans="1:22" hidden="1" x14ac:dyDescent="0.15">
      <c r="G54" s="424" t="s">
        <v>296</v>
      </c>
      <c r="H54" s="393">
        <v>2</v>
      </c>
      <c r="N54" s="189"/>
      <c r="T54" s="38"/>
      <c r="U54" s="39"/>
      <c r="V54" s="36"/>
    </row>
    <row r="55" spans="1:22" hidden="1" x14ac:dyDescent="0.15">
      <c r="G55" s="424" t="s">
        <v>292</v>
      </c>
      <c r="H55" s="393">
        <v>6</v>
      </c>
      <c r="T55" s="191"/>
      <c r="U55" s="192"/>
      <c r="V55" s="193"/>
    </row>
    <row r="56" spans="1:22" hidden="1" x14ac:dyDescent="0.15">
      <c r="B56" s="43"/>
      <c r="G56" s="424" t="s">
        <v>293</v>
      </c>
      <c r="H56" s="393">
        <v>3</v>
      </c>
    </row>
    <row r="57" spans="1:22" ht="37.5" hidden="1" x14ac:dyDescent="0.15">
      <c r="G57" s="424" t="s">
        <v>297</v>
      </c>
      <c r="H57" s="393">
        <v>1</v>
      </c>
      <c r="N57" s="187"/>
      <c r="O57" s="38"/>
      <c r="P57" s="39"/>
      <c r="Q57" s="36"/>
      <c r="T57" s="38"/>
      <c r="U57" s="39"/>
      <c r="V57" s="36"/>
    </row>
    <row r="58" spans="1:22" hidden="1" x14ac:dyDescent="0.15">
      <c r="G58" s="424" t="s">
        <v>18</v>
      </c>
      <c r="H58" s="393">
        <v>1</v>
      </c>
    </row>
    <row r="59" spans="1:22" hidden="1" x14ac:dyDescent="0.15">
      <c r="G59" s="424" t="s">
        <v>294</v>
      </c>
      <c r="H59" s="393">
        <v>4</v>
      </c>
    </row>
    <row r="60" spans="1:22" hidden="1" x14ac:dyDescent="0.15">
      <c r="G60" s="424"/>
      <c r="H60" s="393"/>
      <c r="N60" s="187"/>
      <c r="O60" s="38"/>
      <c r="P60" s="39"/>
      <c r="Q60" s="36"/>
      <c r="T60" s="38"/>
      <c r="U60" s="39"/>
      <c r="V60" s="36"/>
    </row>
    <row r="61" spans="1:22" hidden="1" x14ac:dyDescent="0.15"/>
    <row r="62" spans="1:22" hidden="1" x14ac:dyDescent="0.15"/>
    <row r="63" spans="1:22" hidden="1" x14ac:dyDescent="0.15"/>
  </sheetData>
  <mergeCells count="24">
    <mergeCell ref="A19:B19"/>
    <mergeCell ref="A5:B5"/>
    <mergeCell ref="A9:B9"/>
    <mergeCell ref="A10:B10"/>
    <mergeCell ref="A11:B11"/>
    <mergeCell ref="A12:B12"/>
    <mergeCell ref="A13:B13"/>
    <mergeCell ref="A14:B14"/>
    <mergeCell ref="A15:B15"/>
    <mergeCell ref="A16:B16"/>
    <mergeCell ref="A17:B17"/>
    <mergeCell ref="A18:B18"/>
    <mergeCell ref="F19:G19"/>
    <mergeCell ref="F5:G5"/>
    <mergeCell ref="F9:G9"/>
    <mergeCell ref="F10:G10"/>
    <mergeCell ref="F11:G11"/>
    <mergeCell ref="F12:G12"/>
    <mergeCell ref="F13:G13"/>
    <mergeCell ref="F14:G14"/>
    <mergeCell ref="F15:G15"/>
    <mergeCell ref="F16:G16"/>
    <mergeCell ref="F17:G17"/>
    <mergeCell ref="F18:G18"/>
  </mergeCells>
  <phoneticPr fontId="2"/>
  <pageMargins left="0.70866141732283472" right="0.70866141732283472" top="0.74803149606299213" bottom="0.74803149606299213" header="0.31496062992125984" footer="0.31496062992125984"/>
  <pageSetup paperSize="9"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Button 1">
              <controlPr defaultSize="0" print="0" autoFill="0" autoPict="0" macro="[0]!データ削除9">
                <anchor moveWithCells="1" sizeWithCells="1">
                  <from>
                    <xdr:col>9</xdr:col>
                    <xdr:colOff>104775</xdr:colOff>
                    <xdr:row>21</xdr:row>
                    <xdr:rowOff>219075</xdr:rowOff>
                  </from>
                  <to>
                    <xdr:col>15</xdr:col>
                    <xdr:colOff>85725</xdr:colOff>
                    <xdr:row>24</xdr:row>
                    <xdr:rowOff>76200</xdr:rowOff>
                  </to>
                </anchor>
              </controlPr>
            </control>
          </mc:Choice>
        </mc:AlternateContent>
      </controls>
    </mc:Choice>
  </mc:AlternateContent>
  <tableParts count="3">
    <tablePart r:id="rId5"/>
    <tablePart r:id="rId6"/>
    <tablePart r:id="rId7"/>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B0F0"/>
  </sheetPr>
  <dimension ref="A1:G11"/>
  <sheetViews>
    <sheetView showGridLines="0" zoomScaleNormal="100" zoomScaleSheetLayoutView="120" workbookViewId="0">
      <selection activeCell="C2" sqref="C2"/>
    </sheetView>
  </sheetViews>
  <sheetFormatPr defaultRowHeight="18.75" x14ac:dyDescent="0.15"/>
  <cols>
    <col min="1" max="1" width="13.625" style="1" customWidth="1"/>
    <col min="2" max="3" width="9.375" style="1" customWidth="1"/>
    <col min="4" max="4" width="10.75" style="1" hidden="1" customWidth="1"/>
    <col min="5" max="5" width="7.25" style="1" hidden="1" customWidth="1"/>
    <col min="6" max="6" width="11.625" style="1" hidden="1" customWidth="1"/>
    <col min="7" max="7" width="12.875" style="1" hidden="1" customWidth="1"/>
    <col min="8" max="8" width="6.625" style="1" customWidth="1"/>
    <col min="9" max="9" width="7.375" style="1" customWidth="1"/>
    <col min="10" max="10" width="5" style="1" customWidth="1"/>
    <col min="11" max="11" width="6.625" style="1" customWidth="1"/>
    <col min="12" max="12" width="7.375" style="1" customWidth="1"/>
    <col min="13" max="16384" width="9" style="1"/>
  </cols>
  <sheetData>
    <row r="1" spans="1:7" s="3" customFormat="1" ht="19.5" x14ac:dyDescent="0.15">
      <c r="A1" s="2" t="s">
        <v>155</v>
      </c>
    </row>
    <row r="2" spans="1:7" x14ac:dyDescent="0.15">
      <c r="A2" s="4"/>
    </row>
    <row r="3" spans="1:7" s="3" customFormat="1" ht="19.5" x14ac:dyDescent="0.15">
      <c r="A3" s="4" t="s">
        <v>13</v>
      </c>
      <c r="D3" s="6"/>
      <c r="E3" s="46"/>
      <c r="F3" s="47"/>
      <c r="G3" s="47"/>
    </row>
    <row r="4" spans="1:7" x14ac:dyDescent="0.15">
      <c r="A4" s="314"/>
      <c r="B4" s="314" t="s">
        <v>0</v>
      </c>
      <c r="C4" s="314" t="s">
        <v>1</v>
      </c>
      <c r="D4" s="22"/>
      <c r="E4" s="7"/>
      <c r="F4" s="8"/>
      <c r="G4" s="49"/>
    </row>
    <row r="5" spans="1:7" x14ac:dyDescent="0.15">
      <c r="A5" s="298" t="s">
        <v>28</v>
      </c>
      <c r="B5" s="261">
        <v>52</v>
      </c>
      <c r="C5" s="300">
        <f>IFERROR(B5/B$11,"-")</f>
        <v>5.7382476274553075E-3</v>
      </c>
      <c r="D5" s="22"/>
      <c r="E5" s="7"/>
      <c r="F5" s="8"/>
      <c r="G5" s="49"/>
    </row>
    <row r="6" spans="1:7" x14ac:dyDescent="0.15">
      <c r="A6" s="298" t="s">
        <v>29</v>
      </c>
      <c r="B6" s="261">
        <v>501</v>
      </c>
      <c r="C6" s="300">
        <f t="shared" ref="C6:C10" si="0">IFERROR(B6/B$11,"-")</f>
        <v>5.528580887221364E-2</v>
      </c>
      <c r="D6" s="22"/>
      <c r="E6" s="7"/>
      <c r="F6" s="8"/>
      <c r="G6" s="49"/>
    </row>
    <row r="7" spans="1:7" x14ac:dyDescent="0.15">
      <c r="A7" s="298" t="s">
        <v>30</v>
      </c>
      <c r="B7" s="261">
        <v>1423</v>
      </c>
      <c r="C7" s="300">
        <f t="shared" si="0"/>
        <v>0.15702935334363274</v>
      </c>
      <c r="D7" s="22"/>
      <c r="E7" s="7"/>
      <c r="F7" s="8"/>
      <c r="G7" s="49"/>
    </row>
    <row r="8" spans="1:7" x14ac:dyDescent="0.15">
      <c r="A8" s="298" t="s">
        <v>31</v>
      </c>
      <c r="B8" s="261">
        <v>3958</v>
      </c>
      <c r="C8" s="300">
        <f t="shared" si="0"/>
        <v>0.43676892518207899</v>
      </c>
      <c r="D8" s="22"/>
      <c r="E8" s="7"/>
      <c r="F8" s="8"/>
      <c r="G8" s="49"/>
    </row>
    <row r="9" spans="1:7" x14ac:dyDescent="0.15">
      <c r="A9" s="298" t="s">
        <v>32</v>
      </c>
      <c r="B9" s="261">
        <v>2629</v>
      </c>
      <c r="C9" s="300">
        <f t="shared" si="0"/>
        <v>0.29011255793423085</v>
      </c>
      <c r="D9" s="22"/>
      <c r="E9" s="7"/>
      <c r="F9" s="8"/>
      <c r="G9" s="49"/>
    </row>
    <row r="10" spans="1:7" x14ac:dyDescent="0.15">
      <c r="A10" s="298" t="s">
        <v>33</v>
      </c>
      <c r="B10" s="261">
        <v>499</v>
      </c>
      <c r="C10" s="300">
        <f t="shared" si="0"/>
        <v>5.5065107040388438E-2</v>
      </c>
      <c r="D10" s="22"/>
      <c r="E10" s="50"/>
      <c r="F10" s="51"/>
      <c r="G10" s="52"/>
    </row>
    <row r="11" spans="1:7" x14ac:dyDescent="0.15">
      <c r="A11" s="316" t="s">
        <v>11</v>
      </c>
      <c r="B11" s="317">
        <f>SUM(B5:B10)</f>
        <v>9062</v>
      </c>
      <c r="C11" s="485">
        <f>SUM(C5:C10)</f>
        <v>1</v>
      </c>
      <c r="D11" s="22"/>
      <c r="E11" s="22"/>
      <c r="F11" s="22"/>
      <c r="G11" s="22"/>
    </row>
  </sheetData>
  <phoneticPr fontId="2"/>
  <pageMargins left="0.70866141732283472" right="0.70866141732283472" top="0.74803149606299213" bottom="0.74803149606299213" header="0.31496062992125984" footer="0.31496062992125984"/>
  <pageSetup paperSize="1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データ削除10">
                <anchor moveWithCells="1" sizeWithCells="1">
                  <from>
                    <xdr:col>3</xdr:col>
                    <xdr:colOff>371475</xdr:colOff>
                    <xdr:row>1</xdr:row>
                    <xdr:rowOff>114300</xdr:rowOff>
                  </from>
                  <to>
                    <xdr:col>5</xdr:col>
                    <xdr:colOff>57150</xdr:colOff>
                    <xdr:row>3</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00B0F0"/>
    <pageSetUpPr fitToPage="1"/>
  </sheetPr>
  <dimension ref="A1:AJ63"/>
  <sheetViews>
    <sheetView showGridLines="0" topLeftCell="A22" zoomScale="85" zoomScaleNormal="85" zoomScaleSheetLayoutView="70" zoomScalePageLayoutView="80" workbookViewId="0">
      <selection activeCell="E21" sqref="E21:I40"/>
    </sheetView>
  </sheetViews>
  <sheetFormatPr defaultRowHeight="18.75" x14ac:dyDescent="0.15"/>
  <cols>
    <col min="1" max="1" width="62.5" style="1" customWidth="1"/>
    <col min="2" max="3" width="9.375" style="1" customWidth="1"/>
    <col min="4" max="4" width="4.125" style="1" customWidth="1"/>
    <col min="5" max="5" width="43.75" style="1" customWidth="1"/>
    <col min="6" max="9" width="9.375" style="1" customWidth="1"/>
    <col min="10" max="10" width="6.25" style="1" customWidth="1"/>
    <col min="11" max="11" width="3.125" style="1" customWidth="1"/>
    <col min="12" max="12" width="49.625" style="1" hidden="1" customWidth="1"/>
    <col min="13" max="13" width="8.125" style="1" customWidth="1"/>
    <col min="14" max="14" width="2.625" style="1" customWidth="1"/>
    <col min="15" max="15" width="4.5" style="1" customWidth="1"/>
    <col min="16" max="16" width="57.125" style="1" customWidth="1"/>
    <col min="17" max="17" width="6.375" style="1" customWidth="1"/>
    <col min="18" max="18" width="25.25" style="1" customWidth="1"/>
    <col min="19" max="19" width="47.875" style="1" bestFit="1" customWidth="1"/>
    <col min="20" max="20" width="34" style="1" customWidth="1"/>
    <col min="21" max="21" width="25.25" style="1" customWidth="1"/>
    <col min="22" max="22" width="55.25" style="1" customWidth="1"/>
    <col min="23" max="23" width="41.5" style="1" customWidth="1"/>
    <col min="24" max="24" width="32.75" style="1" customWidth="1"/>
    <col min="25" max="26" width="47.875" style="1" bestFit="1" customWidth="1"/>
    <col min="27" max="27" width="29" style="1" bestFit="1" customWidth="1"/>
    <col min="28" max="28" width="55.25" style="1" bestFit="1" customWidth="1"/>
    <col min="29" max="29" width="41.5" style="1" bestFit="1" customWidth="1"/>
    <col min="30" max="30" width="32.75" style="1" bestFit="1" customWidth="1"/>
    <col min="31" max="16384" width="9" style="1"/>
  </cols>
  <sheetData>
    <row r="1" spans="1:17" s="3" customFormat="1" ht="19.5" x14ac:dyDescent="0.15">
      <c r="A1" s="2" t="s">
        <v>236</v>
      </c>
    </row>
    <row r="2" spans="1:17" x14ac:dyDescent="0.15">
      <c r="A2" s="4"/>
    </row>
    <row r="3" spans="1:17" x14ac:dyDescent="0.15">
      <c r="A3" s="4" t="s">
        <v>13</v>
      </c>
      <c r="E3" s="4" t="s">
        <v>113</v>
      </c>
    </row>
    <row r="4" spans="1:17" x14ac:dyDescent="0.15">
      <c r="A4" s="332"/>
      <c r="B4" s="314" t="s">
        <v>0</v>
      </c>
      <c r="C4" s="314" t="s">
        <v>1</v>
      </c>
      <c r="E4" s="332"/>
      <c r="F4" s="314" t="s">
        <v>114</v>
      </c>
      <c r="G4" s="333" t="s">
        <v>116</v>
      </c>
      <c r="H4" s="314" t="s">
        <v>12</v>
      </c>
      <c r="I4" s="314" t="s">
        <v>1</v>
      </c>
      <c r="L4" s="142"/>
      <c r="M4" s="142"/>
      <c r="P4" s="142"/>
      <c r="Q4" s="142"/>
    </row>
    <row r="5" spans="1:17" ht="37.5" x14ac:dyDescent="0.15">
      <c r="A5" s="307" t="s">
        <v>231</v>
      </c>
      <c r="B5" s="328">
        <v>1411</v>
      </c>
      <c r="C5" s="300">
        <f>IFERROR(B5/B$8,"-")</f>
        <v>0.15570514235268151</v>
      </c>
      <c r="E5" s="307" t="s">
        <v>231</v>
      </c>
      <c r="F5" s="329">
        <v>26</v>
      </c>
      <c r="G5" s="328">
        <v>343</v>
      </c>
      <c r="H5" s="259">
        <f>SUM(F5:G5)</f>
        <v>369</v>
      </c>
      <c r="I5" s="300">
        <f>IFERROR(H5/H$8,"-")</f>
        <v>0.66726943942133821</v>
      </c>
      <c r="L5" s="38"/>
      <c r="M5" s="23"/>
      <c r="P5" s="38"/>
      <c r="Q5" s="23"/>
    </row>
    <row r="6" spans="1:17" x14ac:dyDescent="0.15">
      <c r="A6" s="302" t="s">
        <v>232</v>
      </c>
      <c r="B6" s="304">
        <v>7427</v>
      </c>
      <c r="C6" s="300">
        <f t="shared" ref="C6:C7" si="0">IFERROR(B6/B$8,"-")</f>
        <v>0.81957625248289556</v>
      </c>
      <c r="E6" s="302" t="s">
        <v>232</v>
      </c>
      <c r="F6" s="304">
        <v>4</v>
      </c>
      <c r="G6" s="304">
        <v>90</v>
      </c>
      <c r="H6" s="259">
        <f t="shared" ref="H6:H7" si="1">SUM(F6:G6)</f>
        <v>94</v>
      </c>
      <c r="I6" s="300">
        <f t="shared" ref="I6:I7" si="2">IFERROR(H6/H$8,"-")</f>
        <v>0.16998191681735986</v>
      </c>
      <c r="L6" s="38"/>
      <c r="M6" s="23"/>
      <c r="P6" s="38"/>
      <c r="Q6" s="23"/>
    </row>
    <row r="7" spans="1:17" x14ac:dyDescent="0.15">
      <c r="A7" s="302" t="s">
        <v>233</v>
      </c>
      <c r="B7" s="304">
        <v>224</v>
      </c>
      <c r="C7" s="300">
        <f t="shared" si="0"/>
        <v>2.4718605164422865E-2</v>
      </c>
      <c r="E7" s="302" t="s">
        <v>233</v>
      </c>
      <c r="F7" s="304">
        <v>22</v>
      </c>
      <c r="G7" s="304">
        <v>68</v>
      </c>
      <c r="H7" s="259">
        <f t="shared" si="1"/>
        <v>90</v>
      </c>
      <c r="I7" s="300">
        <f t="shared" si="2"/>
        <v>0.16274864376130199</v>
      </c>
      <c r="L7" s="38"/>
      <c r="M7" s="23"/>
      <c r="P7" s="38"/>
      <c r="Q7" s="23"/>
    </row>
    <row r="8" spans="1:17" x14ac:dyDescent="0.15">
      <c r="A8" s="316" t="s">
        <v>11</v>
      </c>
      <c r="B8" s="317">
        <f>SUM(B5:B7)</f>
        <v>9062</v>
      </c>
      <c r="C8" s="618">
        <f>SUM(C5:C7)</f>
        <v>0.99999999999999989</v>
      </c>
      <c r="E8" s="316" t="s">
        <v>11</v>
      </c>
      <c r="F8" s="317">
        <f>SUM(F5:F7)</f>
        <v>52</v>
      </c>
      <c r="G8" s="317">
        <f>SUM(G5:G7)</f>
        <v>501</v>
      </c>
      <c r="H8" s="317">
        <f>SUM(H5:H7)</f>
        <v>553</v>
      </c>
      <c r="I8" s="618">
        <f>SUM(I5:I7)</f>
        <v>1</v>
      </c>
      <c r="L8" s="38"/>
      <c r="M8" s="23"/>
      <c r="P8" s="38"/>
      <c r="Q8" s="23"/>
    </row>
    <row r="9" spans="1:17" s="139" customFormat="1" ht="11.25" customHeight="1" x14ac:dyDescent="0.15">
      <c r="A9" s="58"/>
      <c r="B9" s="180"/>
      <c r="C9" s="181"/>
      <c r="E9" s="58"/>
      <c r="F9" s="180"/>
      <c r="G9" s="180"/>
      <c r="H9" s="180"/>
      <c r="I9" s="181"/>
      <c r="L9" s="182"/>
      <c r="M9" s="183"/>
      <c r="P9" s="182"/>
      <c r="Q9" s="183"/>
    </row>
    <row r="10" spans="1:17" s="3" customFormat="1" ht="19.5" x14ac:dyDescent="0.15">
      <c r="A10" s="2" t="s">
        <v>85</v>
      </c>
    </row>
    <row r="11" spans="1:17" x14ac:dyDescent="0.15">
      <c r="A11" s="4"/>
    </row>
    <row r="12" spans="1:17" x14ac:dyDescent="0.15">
      <c r="A12" s="4" t="s">
        <v>13</v>
      </c>
      <c r="E12" s="4" t="s">
        <v>113</v>
      </c>
    </row>
    <row r="13" spans="1:17" x14ac:dyDescent="0.15">
      <c r="A13" s="332"/>
      <c r="B13" s="314" t="s">
        <v>0</v>
      </c>
      <c r="C13" s="314" t="s">
        <v>1</v>
      </c>
      <c r="E13" s="332"/>
      <c r="F13" s="314" t="s">
        <v>114</v>
      </c>
      <c r="G13" s="333" t="s">
        <v>116</v>
      </c>
      <c r="H13" s="314" t="s">
        <v>12</v>
      </c>
      <c r="I13" s="314" t="s">
        <v>1</v>
      </c>
      <c r="L13" s="142"/>
      <c r="M13" s="142"/>
      <c r="P13" s="142"/>
      <c r="Q13" s="142"/>
    </row>
    <row r="14" spans="1:17" x14ac:dyDescent="0.45">
      <c r="A14" s="302" t="s">
        <v>34</v>
      </c>
      <c r="B14" s="330">
        <v>1364</v>
      </c>
      <c r="C14" s="300">
        <f>IFERROR(B14/B$16,"-")</f>
        <v>0.96669029057406097</v>
      </c>
      <c r="E14" s="302" t="s">
        <v>34</v>
      </c>
      <c r="F14" s="329">
        <v>25</v>
      </c>
      <c r="G14" s="330">
        <v>330</v>
      </c>
      <c r="H14" s="259">
        <f>SUM(F14:G14)</f>
        <v>355</v>
      </c>
      <c r="I14" s="300">
        <f>IFERROR(H14/H$16,"-")</f>
        <v>0.96205962059620598</v>
      </c>
      <c r="L14" s="38"/>
      <c r="M14" s="23"/>
      <c r="P14" s="38"/>
      <c r="Q14" s="23"/>
    </row>
    <row r="15" spans="1:17" x14ac:dyDescent="0.15">
      <c r="A15" s="302" t="s">
        <v>35</v>
      </c>
      <c r="B15" s="304">
        <v>47</v>
      </c>
      <c r="C15" s="300">
        <f>IFERROR(B15/B$16,"-")</f>
        <v>3.3309709425939048E-2</v>
      </c>
      <c r="E15" s="302" t="s">
        <v>35</v>
      </c>
      <c r="F15" s="304">
        <v>1</v>
      </c>
      <c r="G15" s="304">
        <v>13</v>
      </c>
      <c r="H15" s="259">
        <f t="shared" ref="H15" si="3">SUM(F15:G15)</f>
        <v>14</v>
      </c>
      <c r="I15" s="300">
        <f>IFERROR(H15/H$16,"-")</f>
        <v>3.7940379403794036E-2</v>
      </c>
      <c r="L15" s="38"/>
      <c r="M15" s="23"/>
      <c r="P15" s="38"/>
      <c r="Q15" s="23"/>
    </row>
    <row r="16" spans="1:17" x14ac:dyDescent="0.15">
      <c r="A16" s="316" t="s">
        <v>11</v>
      </c>
      <c r="B16" s="317">
        <f>SUM(B14:B15)</f>
        <v>1411</v>
      </c>
      <c r="C16" s="618">
        <f>SUM(C14:C15)</f>
        <v>1</v>
      </c>
      <c r="E16" s="316" t="s">
        <v>11</v>
      </c>
      <c r="F16" s="317">
        <f>SUM(F14:F15)</f>
        <v>26</v>
      </c>
      <c r="G16" s="317">
        <f>SUM(G14:G15)</f>
        <v>343</v>
      </c>
      <c r="H16" s="317">
        <f>SUM(H14:H15)</f>
        <v>369</v>
      </c>
      <c r="I16" s="618">
        <f>SUM(I14:I15)</f>
        <v>1</v>
      </c>
      <c r="L16" s="38"/>
      <c r="M16" s="23"/>
      <c r="P16" s="38"/>
      <c r="Q16" s="23"/>
    </row>
    <row r="17" spans="1:36" x14ac:dyDescent="0.15">
      <c r="A17" s="4"/>
      <c r="L17" s="38"/>
      <c r="M17" s="23"/>
      <c r="P17" s="38"/>
      <c r="Q17" s="23"/>
    </row>
    <row r="18" spans="1:36" s="3" customFormat="1" ht="19.5" x14ac:dyDescent="0.15">
      <c r="A18" s="2" t="s">
        <v>86</v>
      </c>
      <c r="K18" s="1"/>
      <c r="L18" s="38"/>
      <c r="M18" s="23"/>
      <c r="O18" s="1"/>
      <c r="P18" s="38"/>
      <c r="Q18" s="23"/>
    </row>
    <row r="19" spans="1:36" x14ac:dyDescent="0.15">
      <c r="A19" s="4"/>
      <c r="L19" s="38"/>
      <c r="M19" s="23"/>
      <c r="P19" s="38"/>
      <c r="Q19" s="23"/>
    </row>
    <row r="20" spans="1:36" x14ac:dyDescent="0.15">
      <c r="A20" s="4" t="s">
        <v>13</v>
      </c>
      <c r="E20" s="4" t="s">
        <v>113</v>
      </c>
      <c r="L20" s="38"/>
      <c r="M20" s="23"/>
      <c r="P20" s="38"/>
      <c r="Q20" s="23"/>
    </row>
    <row r="21" spans="1:36" x14ac:dyDescent="0.15">
      <c r="A21" s="643">
        <f>B14</f>
        <v>1364</v>
      </c>
      <c r="B21" s="643"/>
      <c r="C21" s="643"/>
      <c r="E21" s="644">
        <f>H14</f>
        <v>355</v>
      </c>
      <c r="F21" s="644"/>
      <c r="G21" s="644"/>
      <c r="H21" s="644"/>
      <c r="I21" s="644"/>
      <c r="L21" s="38"/>
      <c r="M21" s="23"/>
      <c r="P21" s="38"/>
      <c r="Q21" s="23"/>
    </row>
    <row r="22" spans="1:36" x14ac:dyDescent="0.15">
      <c r="A22" s="332"/>
      <c r="B22" s="314" t="s">
        <v>37</v>
      </c>
      <c r="C22" s="314" t="s">
        <v>1</v>
      </c>
      <c r="E22" s="332"/>
      <c r="F22" s="314" t="s">
        <v>114</v>
      </c>
      <c r="G22" s="333" t="s">
        <v>116</v>
      </c>
      <c r="H22" s="314" t="s">
        <v>12</v>
      </c>
      <c r="I22" s="314" t="s">
        <v>1</v>
      </c>
      <c r="L22" s="38"/>
      <c r="M22" s="23"/>
      <c r="P22" s="38"/>
      <c r="Q22" s="23"/>
    </row>
    <row r="23" spans="1:36" ht="37.5" customHeight="1" x14ac:dyDescent="0.15">
      <c r="A23" s="307" t="s">
        <v>250</v>
      </c>
      <c r="B23" s="304">
        <v>500</v>
      </c>
      <c r="C23" s="300">
        <f>IFERROR(B23/B$14,"-")</f>
        <v>0.36656891495601174</v>
      </c>
      <c r="E23" s="331" t="s">
        <v>235</v>
      </c>
      <c r="F23" s="304">
        <v>4</v>
      </c>
      <c r="G23" s="304">
        <v>91</v>
      </c>
      <c r="H23" s="259">
        <f>SUM(F23:G23)</f>
        <v>95</v>
      </c>
      <c r="I23" s="300">
        <f>IFERROR(H23/H$14,"-")</f>
        <v>0.26760563380281688</v>
      </c>
      <c r="L23" s="38"/>
      <c r="M23" s="23"/>
      <c r="P23" s="38"/>
      <c r="Q23" s="23"/>
    </row>
    <row r="24" spans="1:36" x14ac:dyDescent="0.15">
      <c r="A24" s="302" t="s">
        <v>159</v>
      </c>
      <c r="B24" s="304">
        <v>411</v>
      </c>
      <c r="C24" s="300">
        <f t="shared" ref="C24:C40" si="4">IFERROR(B24/B$14,"-")</f>
        <v>0.30131964809384165</v>
      </c>
      <c r="E24" s="302" t="s">
        <v>159</v>
      </c>
      <c r="F24" s="304">
        <v>3</v>
      </c>
      <c r="G24" s="304">
        <v>72</v>
      </c>
      <c r="H24" s="259">
        <f t="shared" ref="H24:H40" si="5">SUM(F24:G24)</f>
        <v>75</v>
      </c>
      <c r="I24" s="300">
        <f t="shared" ref="I24:I40" si="6">IFERROR(H24/H$14,"-")</f>
        <v>0.21126760563380281</v>
      </c>
      <c r="L24" s="38"/>
      <c r="M24" s="23"/>
      <c r="P24" s="38"/>
      <c r="Q24" s="23"/>
    </row>
    <row r="25" spans="1:36" x14ac:dyDescent="0.15">
      <c r="A25" s="302" t="s">
        <v>38</v>
      </c>
      <c r="B25" s="304">
        <v>79</v>
      </c>
      <c r="C25" s="300">
        <f t="shared" si="4"/>
        <v>5.7917888563049851E-2</v>
      </c>
      <c r="E25" s="302" t="s">
        <v>38</v>
      </c>
      <c r="F25" s="304">
        <v>0</v>
      </c>
      <c r="G25" s="304">
        <v>13</v>
      </c>
      <c r="H25" s="259">
        <f t="shared" si="5"/>
        <v>13</v>
      </c>
      <c r="I25" s="300">
        <f t="shared" si="6"/>
        <v>3.6619718309859155E-2</v>
      </c>
      <c r="L25" s="38"/>
      <c r="M25" s="23"/>
      <c r="P25" s="38"/>
      <c r="Q25" s="23"/>
    </row>
    <row r="26" spans="1:36" x14ac:dyDescent="0.15">
      <c r="A26" s="302" t="s">
        <v>39</v>
      </c>
      <c r="B26" s="304">
        <v>593</v>
      </c>
      <c r="C26" s="300">
        <f t="shared" si="4"/>
        <v>0.43475073313782991</v>
      </c>
      <c r="E26" s="302" t="s">
        <v>39</v>
      </c>
      <c r="F26" s="304">
        <v>11</v>
      </c>
      <c r="G26" s="304">
        <v>142</v>
      </c>
      <c r="H26" s="259">
        <f t="shared" si="5"/>
        <v>153</v>
      </c>
      <c r="I26" s="300">
        <f t="shared" si="6"/>
        <v>0.43098591549295773</v>
      </c>
      <c r="L26" s="38"/>
      <c r="M26" s="23"/>
      <c r="P26" s="38"/>
      <c r="Q26" s="23"/>
    </row>
    <row r="27" spans="1:36" x14ac:dyDescent="0.15">
      <c r="A27" s="302" t="s">
        <v>40</v>
      </c>
      <c r="B27" s="304">
        <v>618</v>
      </c>
      <c r="C27" s="300">
        <f t="shared" si="4"/>
        <v>0.45307917888563048</v>
      </c>
      <c r="E27" s="302" t="s">
        <v>40</v>
      </c>
      <c r="F27" s="304">
        <v>4</v>
      </c>
      <c r="G27" s="304">
        <v>86</v>
      </c>
      <c r="H27" s="259">
        <f t="shared" si="5"/>
        <v>90</v>
      </c>
      <c r="I27" s="300">
        <f t="shared" si="6"/>
        <v>0.25352112676056338</v>
      </c>
      <c r="L27" s="38"/>
      <c r="M27" s="23"/>
      <c r="P27" s="38"/>
      <c r="Q27" s="23"/>
    </row>
    <row r="28" spans="1:36" x14ac:dyDescent="0.15">
      <c r="A28" s="302" t="s">
        <v>41</v>
      </c>
      <c r="B28" s="304">
        <v>462</v>
      </c>
      <c r="C28" s="300">
        <f t="shared" si="4"/>
        <v>0.33870967741935482</v>
      </c>
      <c r="E28" s="302" t="s">
        <v>41</v>
      </c>
      <c r="F28" s="304">
        <v>9</v>
      </c>
      <c r="G28" s="304">
        <v>100</v>
      </c>
      <c r="H28" s="259">
        <f t="shared" si="5"/>
        <v>109</v>
      </c>
      <c r="I28" s="300">
        <f t="shared" si="6"/>
        <v>0.30704225352112674</v>
      </c>
      <c r="L28" s="38"/>
      <c r="M28" s="23"/>
      <c r="P28" s="38"/>
      <c r="Q28" s="23"/>
    </row>
    <row r="29" spans="1:36" x14ac:dyDescent="0.15">
      <c r="A29" s="302" t="s">
        <v>42</v>
      </c>
      <c r="B29" s="304">
        <v>130</v>
      </c>
      <c r="C29" s="300">
        <f t="shared" si="4"/>
        <v>9.5307917888563048E-2</v>
      </c>
      <c r="E29" s="302" t="s">
        <v>42</v>
      </c>
      <c r="F29" s="304">
        <v>1</v>
      </c>
      <c r="G29" s="304">
        <v>17</v>
      </c>
      <c r="H29" s="259">
        <f t="shared" si="5"/>
        <v>18</v>
      </c>
      <c r="I29" s="300">
        <f t="shared" si="6"/>
        <v>5.0704225352112678E-2</v>
      </c>
      <c r="L29" s="38"/>
      <c r="M29" s="23"/>
      <c r="P29" s="38"/>
      <c r="Q29" s="23"/>
    </row>
    <row r="30" spans="1:36" x14ac:dyDescent="0.15">
      <c r="A30" s="302" t="s">
        <v>43</v>
      </c>
      <c r="B30" s="304">
        <v>467</v>
      </c>
      <c r="C30" s="300">
        <f t="shared" si="4"/>
        <v>0.34237536656891493</v>
      </c>
      <c r="E30" s="302" t="s">
        <v>43</v>
      </c>
      <c r="F30" s="304">
        <v>1</v>
      </c>
      <c r="G30" s="304">
        <v>77</v>
      </c>
      <c r="H30" s="259">
        <f t="shared" si="5"/>
        <v>78</v>
      </c>
      <c r="I30" s="300">
        <f t="shared" si="6"/>
        <v>0.21971830985915494</v>
      </c>
      <c r="L30" s="38"/>
      <c r="M30" s="23"/>
      <c r="P30" s="38"/>
      <c r="Q30" s="23"/>
    </row>
    <row r="31" spans="1:36" x14ac:dyDescent="0.15">
      <c r="A31" s="302" t="s">
        <v>44</v>
      </c>
      <c r="B31" s="304">
        <v>273</v>
      </c>
      <c r="C31" s="300">
        <f t="shared" si="4"/>
        <v>0.20014662756598239</v>
      </c>
      <c r="E31" s="302" t="s">
        <v>44</v>
      </c>
      <c r="F31" s="304">
        <v>1</v>
      </c>
      <c r="G31" s="304">
        <v>58</v>
      </c>
      <c r="H31" s="259">
        <f t="shared" si="5"/>
        <v>59</v>
      </c>
      <c r="I31" s="300">
        <f t="shared" si="6"/>
        <v>0.16619718309859155</v>
      </c>
      <c r="K31" s="22"/>
      <c r="L31" s="7"/>
      <c r="M31" s="86"/>
      <c r="N31" s="22"/>
      <c r="O31" s="22"/>
      <c r="P31" s="7"/>
      <c r="Q31" s="86"/>
      <c r="R31" s="22"/>
      <c r="S31" s="22"/>
      <c r="T31" s="22"/>
      <c r="U31" s="22"/>
      <c r="V31" s="22"/>
      <c r="W31" s="22"/>
      <c r="X31" s="22"/>
      <c r="Y31" s="22"/>
      <c r="Z31" s="22"/>
      <c r="AA31" s="22"/>
      <c r="AB31" s="22"/>
      <c r="AC31" s="22"/>
      <c r="AD31" s="22"/>
      <c r="AE31" s="22"/>
      <c r="AF31" s="22"/>
      <c r="AG31" s="22"/>
      <c r="AH31" s="22"/>
      <c r="AI31" s="22"/>
      <c r="AJ31" s="22"/>
    </row>
    <row r="32" spans="1:36" x14ac:dyDescent="0.15">
      <c r="A32" s="302" t="s">
        <v>246</v>
      </c>
      <c r="B32" s="304">
        <v>354</v>
      </c>
      <c r="C32" s="300">
        <f t="shared" si="4"/>
        <v>0.2595307917888563</v>
      </c>
      <c r="E32" s="302" t="s">
        <v>246</v>
      </c>
      <c r="F32" s="304">
        <v>6</v>
      </c>
      <c r="G32" s="304">
        <v>83</v>
      </c>
      <c r="H32" s="259">
        <f t="shared" si="5"/>
        <v>89</v>
      </c>
      <c r="I32" s="300">
        <f t="shared" si="6"/>
        <v>0.25070422535211268</v>
      </c>
      <c r="K32" s="22"/>
      <c r="L32" s="7"/>
      <c r="M32" s="86"/>
      <c r="N32" s="22"/>
      <c r="O32" s="22"/>
      <c r="P32" s="7"/>
      <c r="Q32" s="86"/>
      <c r="R32" s="22"/>
      <c r="S32" s="22"/>
      <c r="T32" s="22"/>
      <c r="U32" s="22"/>
      <c r="V32" s="22"/>
      <c r="W32" s="22"/>
      <c r="X32" s="22"/>
      <c r="Y32" s="22"/>
      <c r="Z32" s="22"/>
      <c r="AA32" s="22"/>
      <c r="AB32" s="22"/>
      <c r="AC32" s="22"/>
      <c r="AD32" s="22"/>
      <c r="AE32" s="22"/>
      <c r="AF32" s="22"/>
      <c r="AG32" s="22"/>
      <c r="AH32" s="22"/>
      <c r="AI32" s="22"/>
      <c r="AJ32" s="22"/>
    </row>
    <row r="33" spans="1:36" x14ac:dyDescent="0.15">
      <c r="A33" s="302" t="s">
        <v>46</v>
      </c>
      <c r="B33" s="304">
        <v>443</v>
      </c>
      <c r="C33" s="300">
        <f t="shared" si="4"/>
        <v>0.32478005865102638</v>
      </c>
      <c r="E33" s="302" t="s">
        <v>46</v>
      </c>
      <c r="F33" s="304">
        <v>11</v>
      </c>
      <c r="G33" s="304">
        <v>119</v>
      </c>
      <c r="H33" s="259">
        <f t="shared" si="5"/>
        <v>130</v>
      </c>
      <c r="I33" s="300">
        <f t="shared" si="6"/>
        <v>0.36619718309859156</v>
      </c>
      <c r="K33" s="22"/>
      <c r="L33" s="7"/>
      <c r="M33" s="86"/>
      <c r="N33" s="22"/>
      <c r="O33" s="22"/>
      <c r="P33" s="7"/>
      <c r="Q33" s="86"/>
      <c r="R33" s="22"/>
      <c r="S33" s="22"/>
      <c r="T33" s="22"/>
      <c r="U33" s="22"/>
      <c r="V33" s="22"/>
      <c r="W33" s="22"/>
      <c r="X33" s="22"/>
      <c r="Y33" s="22"/>
      <c r="Z33" s="22"/>
      <c r="AA33" s="22"/>
      <c r="AB33" s="22"/>
      <c r="AC33" s="22"/>
      <c r="AD33" s="22"/>
      <c r="AE33" s="22"/>
      <c r="AF33" s="22"/>
      <c r="AG33" s="22"/>
      <c r="AH33" s="22"/>
      <c r="AI33" s="22"/>
      <c r="AJ33" s="22"/>
    </row>
    <row r="34" spans="1:36" x14ac:dyDescent="0.15">
      <c r="A34" s="302" t="s">
        <v>47</v>
      </c>
      <c r="B34" s="304">
        <v>86</v>
      </c>
      <c r="C34" s="300">
        <f t="shared" si="4"/>
        <v>6.3049853372434017E-2</v>
      </c>
      <c r="E34" s="302" t="s">
        <v>47</v>
      </c>
      <c r="F34" s="304">
        <v>2</v>
      </c>
      <c r="G34" s="304">
        <v>24</v>
      </c>
      <c r="H34" s="259">
        <f t="shared" si="5"/>
        <v>26</v>
      </c>
      <c r="I34" s="300">
        <f t="shared" si="6"/>
        <v>7.3239436619718309E-2</v>
      </c>
      <c r="K34" s="22"/>
      <c r="L34" s="7"/>
      <c r="M34" s="86"/>
      <c r="N34" s="22"/>
      <c r="O34" s="22"/>
      <c r="P34" s="7"/>
      <c r="Q34" s="86"/>
      <c r="R34" s="22"/>
      <c r="S34" s="22"/>
      <c r="T34" s="22"/>
      <c r="U34" s="22"/>
      <c r="V34" s="22"/>
      <c r="W34" s="22"/>
      <c r="X34" s="22"/>
      <c r="Y34" s="22"/>
      <c r="Z34" s="22"/>
      <c r="AA34" s="22"/>
      <c r="AB34" s="22"/>
      <c r="AC34" s="22"/>
      <c r="AD34" s="22"/>
      <c r="AE34" s="22"/>
      <c r="AF34" s="22"/>
      <c r="AG34" s="22"/>
      <c r="AH34" s="22"/>
      <c r="AI34" s="22"/>
      <c r="AJ34" s="22"/>
    </row>
    <row r="35" spans="1:36" x14ac:dyDescent="0.15">
      <c r="A35" s="302" t="s">
        <v>48</v>
      </c>
      <c r="B35" s="304">
        <v>80</v>
      </c>
      <c r="C35" s="300">
        <f t="shared" si="4"/>
        <v>5.865102639296188E-2</v>
      </c>
      <c r="E35" s="302" t="s">
        <v>48</v>
      </c>
      <c r="F35" s="304">
        <v>2</v>
      </c>
      <c r="G35" s="304">
        <v>13</v>
      </c>
      <c r="H35" s="259">
        <f t="shared" si="5"/>
        <v>15</v>
      </c>
      <c r="I35" s="300">
        <f t="shared" si="6"/>
        <v>4.2253521126760563E-2</v>
      </c>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36" x14ac:dyDescent="0.15">
      <c r="A36" s="302" t="s">
        <v>49</v>
      </c>
      <c r="B36" s="304">
        <v>8</v>
      </c>
      <c r="C36" s="300">
        <f t="shared" si="4"/>
        <v>5.8651026392961877E-3</v>
      </c>
      <c r="E36" s="302" t="s">
        <v>49</v>
      </c>
      <c r="F36" s="304">
        <v>0</v>
      </c>
      <c r="G36" s="304">
        <v>2</v>
      </c>
      <c r="H36" s="259">
        <f t="shared" si="5"/>
        <v>2</v>
      </c>
      <c r="I36" s="300">
        <f t="shared" si="6"/>
        <v>5.6338028169014088E-3</v>
      </c>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1:36" x14ac:dyDescent="0.15">
      <c r="A37" s="302" t="s">
        <v>50</v>
      </c>
      <c r="B37" s="304">
        <v>111</v>
      </c>
      <c r="C37" s="300">
        <f t="shared" si="4"/>
        <v>8.1378299120234601E-2</v>
      </c>
      <c r="E37" s="302" t="s">
        <v>50</v>
      </c>
      <c r="F37" s="304">
        <v>3</v>
      </c>
      <c r="G37" s="304">
        <v>40</v>
      </c>
      <c r="H37" s="259">
        <f t="shared" si="5"/>
        <v>43</v>
      </c>
      <c r="I37" s="300">
        <f t="shared" si="6"/>
        <v>0.12112676056338029</v>
      </c>
      <c r="K37" s="22"/>
      <c r="L37" s="184"/>
      <c r="M37" s="184"/>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1:36" ht="18" customHeight="1" x14ac:dyDescent="0.15">
      <c r="A38" s="302" t="s">
        <v>51</v>
      </c>
      <c r="B38" s="304">
        <v>129</v>
      </c>
      <c r="C38" s="300">
        <f t="shared" si="4"/>
        <v>9.4574780058651026E-2</v>
      </c>
      <c r="E38" s="628" t="s">
        <v>51</v>
      </c>
      <c r="F38" s="304">
        <v>3</v>
      </c>
      <c r="G38" s="304">
        <v>39</v>
      </c>
      <c r="H38" s="259">
        <f t="shared" si="5"/>
        <v>42</v>
      </c>
      <c r="I38" s="300">
        <f t="shared" si="6"/>
        <v>0.11830985915492957</v>
      </c>
      <c r="K38" s="22"/>
      <c r="L38" s="7"/>
      <c r="M38" s="86"/>
      <c r="N38" s="22"/>
      <c r="O38" s="22"/>
      <c r="P38" s="22"/>
      <c r="Q38" s="22"/>
      <c r="R38" s="22"/>
      <c r="S38" s="22"/>
      <c r="T38" s="22"/>
      <c r="U38" s="22"/>
      <c r="V38" s="22"/>
      <c r="W38" s="22"/>
      <c r="X38" s="22"/>
      <c r="Y38" s="22"/>
      <c r="Z38" s="22"/>
      <c r="AA38" s="22"/>
      <c r="AB38" s="22"/>
      <c r="AC38" s="22"/>
      <c r="AD38" s="22"/>
      <c r="AE38" s="22"/>
      <c r="AF38" s="22"/>
      <c r="AG38" s="22"/>
      <c r="AH38" s="22"/>
      <c r="AI38" s="22"/>
      <c r="AJ38" s="22"/>
    </row>
    <row r="39" spans="1:36" x14ac:dyDescent="0.15">
      <c r="A39" s="302" t="s">
        <v>247</v>
      </c>
      <c r="B39" s="304">
        <v>21</v>
      </c>
      <c r="C39" s="300">
        <f t="shared" si="4"/>
        <v>1.5395894428152493E-2</v>
      </c>
      <c r="E39" s="302" t="s">
        <v>247</v>
      </c>
      <c r="F39" s="304">
        <v>0</v>
      </c>
      <c r="G39" s="304">
        <v>8</v>
      </c>
      <c r="H39" s="259">
        <f t="shared" si="5"/>
        <v>8</v>
      </c>
      <c r="I39" s="300">
        <f t="shared" si="6"/>
        <v>2.2535211267605635E-2</v>
      </c>
      <c r="K39" s="22"/>
      <c r="L39" s="7"/>
      <c r="M39" s="86"/>
      <c r="N39" s="22"/>
      <c r="O39" s="22"/>
      <c r="P39" s="22"/>
      <c r="Q39" s="22"/>
      <c r="R39" s="22"/>
      <c r="S39" s="22"/>
      <c r="T39" s="22"/>
      <c r="U39" s="22"/>
      <c r="V39" s="22"/>
      <c r="W39" s="22"/>
      <c r="X39" s="22"/>
      <c r="Y39" s="22"/>
      <c r="Z39" s="22"/>
      <c r="AA39" s="22"/>
      <c r="AB39" s="22"/>
      <c r="AC39" s="22"/>
      <c r="AD39" s="22"/>
      <c r="AE39" s="22"/>
      <c r="AF39" s="22"/>
      <c r="AG39" s="22"/>
      <c r="AH39" s="22"/>
      <c r="AI39" s="22"/>
      <c r="AJ39" s="22"/>
    </row>
    <row r="40" spans="1:36" x14ac:dyDescent="0.15">
      <c r="A40" s="302" t="s">
        <v>53</v>
      </c>
      <c r="B40" s="304">
        <v>64</v>
      </c>
      <c r="C40" s="300">
        <f t="shared" si="4"/>
        <v>4.6920821114369501E-2</v>
      </c>
      <c r="E40" s="302" t="s">
        <v>53</v>
      </c>
      <c r="F40" s="304">
        <v>3</v>
      </c>
      <c r="G40" s="304">
        <v>18</v>
      </c>
      <c r="H40" s="259">
        <f t="shared" si="5"/>
        <v>21</v>
      </c>
      <c r="I40" s="300">
        <f t="shared" si="6"/>
        <v>5.9154929577464786E-2</v>
      </c>
      <c r="K40" s="22"/>
      <c r="L40" s="7"/>
      <c r="M40" s="86"/>
      <c r="N40" s="22"/>
      <c r="O40" s="22"/>
      <c r="P40" s="22"/>
      <c r="Q40" s="22"/>
      <c r="R40" s="22"/>
      <c r="S40" s="22"/>
      <c r="T40" s="22"/>
      <c r="U40" s="22"/>
      <c r="V40" s="22"/>
      <c r="W40" s="22"/>
      <c r="X40" s="22"/>
      <c r="Y40" s="22"/>
      <c r="Z40" s="22"/>
      <c r="AA40" s="22"/>
      <c r="AB40" s="22"/>
      <c r="AC40" s="22"/>
      <c r="AD40" s="22"/>
      <c r="AE40" s="22"/>
      <c r="AF40" s="22"/>
      <c r="AG40" s="22"/>
      <c r="AH40" s="22"/>
      <c r="AI40" s="22"/>
      <c r="AJ40" s="22"/>
    </row>
    <row r="41" spans="1:36" x14ac:dyDescent="0.15">
      <c r="B41" s="146"/>
      <c r="H41" s="185"/>
      <c r="I41" s="186"/>
      <c r="K41" s="22"/>
      <c r="L41" s="7"/>
      <c r="M41" s="86"/>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1:36" x14ac:dyDescent="0.15">
      <c r="K42" s="22"/>
      <c r="L42" s="7"/>
      <c r="M42" s="86"/>
      <c r="N42" s="22"/>
      <c r="O42" s="22"/>
      <c r="P42" s="22"/>
      <c r="Q42" s="22"/>
      <c r="R42" s="22"/>
      <c r="S42" s="22"/>
      <c r="T42" s="22"/>
      <c r="U42" s="22"/>
      <c r="V42" s="22"/>
      <c r="W42" s="22"/>
      <c r="X42" s="22"/>
      <c r="Y42" s="22"/>
      <c r="Z42" s="22"/>
      <c r="AA42" s="22"/>
      <c r="AB42" s="22"/>
      <c r="AC42" s="22"/>
      <c r="AD42" s="22"/>
      <c r="AE42" s="22"/>
      <c r="AF42" s="22"/>
      <c r="AG42" s="22"/>
      <c r="AH42" s="22"/>
      <c r="AI42" s="22"/>
      <c r="AJ42" s="22"/>
    </row>
    <row r="43" spans="1:36" x14ac:dyDescent="0.15">
      <c r="K43" s="22"/>
      <c r="L43" s="7"/>
      <c r="M43" s="86"/>
      <c r="N43" s="22"/>
      <c r="O43" s="22"/>
      <c r="P43" s="22"/>
      <c r="Q43" s="22"/>
      <c r="R43" s="22"/>
      <c r="S43" s="22"/>
      <c r="T43" s="22"/>
      <c r="U43" s="22"/>
      <c r="V43" s="22"/>
      <c r="W43" s="22"/>
      <c r="X43" s="22"/>
      <c r="Y43" s="22"/>
      <c r="Z43" s="22"/>
      <c r="AA43" s="22"/>
      <c r="AB43" s="22"/>
      <c r="AC43" s="22"/>
      <c r="AD43" s="22"/>
      <c r="AE43" s="22"/>
      <c r="AF43" s="22"/>
      <c r="AG43" s="22"/>
      <c r="AH43" s="22"/>
      <c r="AI43" s="22"/>
      <c r="AJ43" s="22"/>
    </row>
    <row r="44" spans="1:36" x14ac:dyDescent="0.15">
      <c r="K44" s="22"/>
      <c r="L44" s="7"/>
      <c r="M44" s="86"/>
      <c r="N44" s="22"/>
      <c r="O44" s="22"/>
      <c r="P44" s="22"/>
      <c r="Q44" s="22"/>
      <c r="R44" s="22"/>
      <c r="S44" s="22"/>
      <c r="T44" s="22"/>
      <c r="U44" s="22"/>
      <c r="V44" s="22"/>
      <c r="W44" s="22"/>
      <c r="X44" s="22"/>
      <c r="Y44" s="22"/>
      <c r="Z44" s="22"/>
      <c r="AA44" s="22"/>
      <c r="AB44" s="22"/>
      <c r="AC44" s="22"/>
      <c r="AD44" s="22"/>
      <c r="AE44" s="22"/>
      <c r="AF44" s="22"/>
      <c r="AG44" s="22"/>
      <c r="AH44" s="22"/>
      <c r="AI44" s="22"/>
      <c r="AJ44" s="22"/>
    </row>
    <row r="45" spans="1:36" x14ac:dyDescent="0.15">
      <c r="K45" s="22"/>
      <c r="L45" s="7"/>
      <c r="M45" s="86"/>
      <c r="N45" s="22"/>
      <c r="O45" s="22"/>
      <c r="P45" s="22"/>
      <c r="Q45" s="22"/>
      <c r="R45" s="22"/>
      <c r="S45" s="22"/>
      <c r="T45" s="22"/>
      <c r="U45" s="22"/>
      <c r="V45" s="22"/>
      <c r="W45" s="22"/>
      <c r="X45" s="22"/>
      <c r="Y45" s="22"/>
      <c r="Z45" s="22"/>
      <c r="AA45" s="22"/>
      <c r="AB45" s="22"/>
      <c r="AC45" s="22"/>
      <c r="AD45" s="22"/>
      <c r="AE45" s="22"/>
      <c r="AF45" s="22"/>
      <c r="AG45" s="22"/>
      <c r="AH45" s="22"/>
      <c r="AI45" s="22"/>
      <c r="AJ45" s="22"/>
    </row>
    <row r="46" spans="1:36" x14ac:dyDescent="0.15">
      <c r="K46" s="22"/>
      <c r="L46" s="7"/>
      <c r="M46" s="86"/>
      <c r="N46" s="22"/>
      <c r="O46" s="22"/>
      <c r="P46" s="22"/>
      <c r="Q46" s="22"/>
      <c r="R46" s="22"/>
      <c r="S46" s="22"/>
      <c r="T46" s="22"/>
      <c r="U46" s="22"/>
      <c r="V46" s="22"/>
      <c r="W46" s="22"/>
      <c r="X46" s="22"/>
      <c r="Y46" s="22"/>
      <c r="Z46" s="22"/>
      <c r="AA46" s="22"/>
      <c r="AB46" s="22"/>
      <c r="AC46" s="22"/>
      <c r="AD46" s="22"/>
      <c r="AE46" s="22"/>
      <c r="AF46" s="22"/>
      <c r="AG46" s="22"/>
      <c r="AH46" s="22"/>
      <c r="AI46" s="22"/>
      <c r="AJ46" s="22"/>
    </row>
    <row r="47" spans="1:36" x14ac:dyDescent="0.15">
      <c r="K47" s="22"/>
      <c r="L47" s="7"/>
      <c r="M47" s="86"/>
      <c r="N47" s="22"/>
      <c r="O47" s="22"/>
      <c r="P47" s="22"/>
      <c r="Q47" s="22"/>
      <c r="R47" s="22"/>
      <c r="S47" s="22"/>
      <c r="T47" s="22"/>
      <c r="U47" s="22"/>
      <c r="V47" s="22"/>
      <c r="W47" s="22"/>
      <c r="X47" s="22"/>
      <c r="Y47" s="22"/>
      <c r="Z47" s="22"/>
      <c r="AA47" s="22"/>
      <c r="AB47" s="22"/>
      <c r="AC47" s="22"/>
      <c r="AD47" s="22"/>
      <c r="AE47" s="22"/>
      <c r="AF47" s="22"/>
      <c r="AG47" s="22"/>
      <c r="AH47" s="22"/>
      <c r="AI47" s="22"/>
      <c r="AJ47" s="22"/>
    </row>
    <row r="48" spans="1:36" x14ac:dyDescent="0.15">
      <c r="K48" s="22"/>
      <c r="L48" s="7"/>
      <c r="M48" s="86"/>
      <c r="N48" s="22"/>
      <c r="O48" s="22"/>
      <c r="P48" s="22"/>
      <c r="Q48" s="22"/>
      <c r="R48" s="22"/>
      <c r="S48" s="22"/>
      <c r="T48" s="22"/>
      <c r="U48" s="22"/>
      <c r="V48" s="22"/>
      <c r="W48" s="22"/>
      <c r="X48" s="22"/>
      <c r="Y48" s="22"/>
      <c r="Z48" s="22"/>
      <c r="AA48" s="22"/>
      <c r="AB48" s="22"/>
      <c r="AC48" s="22"/>
      <c r="AD48" s="22"/>
      <c r="AE48" s="22"/>
      <c r="AF48" s="22"/>
      <c r="AG48" s="22"/>
      <c r="AH48" s="22"/>
      <c r="AI48" s="22"/>
      <c r="AJ48" s="22"/>
    </row>
    <row r="49" spans="11:36" x14ac:dyDescent="0.15">
      <c r="K49" s="22"/>
      <c r="L49" s="7"/>
      <c r="M49" s="86"/>
      <c r="N49" s="22"/>
      <c r="O49" s="22"/>
      <c r="P49" s="22"/>
      <c r="Q49" s="22"/>
      <c r="R49" s="22"/>
      <c r="S49" s="22"/>
      <c r="T49" s="22"/>
      <c r="U49" s="22"/>
      <c r="V49" s="22"/>
      <c r="W49" s="22"/>
      <c r="X49" s="22"/>
      <c r="Y49" s="22"/>
      <c r="Z49" s="22"/>
      <c r="AA49" s="22"/>
      <c r="AB49" s="22"/>
      <c r="AC49" s="22"/>
      <c r="AD49" s="22"/>
      <c r="AE49" s="22"/>
      <c r="AF49" s="22"/>
      <c r="AG49" s="22"/>
      <c r="AH49" s="22"/>
      <c r="AI49" s="22"/>
      <c r="AJ49" s="22"/>
    </row>
    <row r="50" spans="11:36" x14ac:dyDescent="0.15">
      <c r="K50" s="22"/>
      <c r="L50" s="7"/>
      <c r="M50" s="86"/>
      <c r="N50" s="22"/>
      <c r="O50" s="22"/>
      <c r="P50" s="22"/>
      <c r="Q50" s="22"/>
      <c r="R50" s="22"/>
      <c r="S50" s="22"/>
      <c r="T50" s="22"/>
      <c r="U50" s="22"/>
      <c r="V50" s="22"/>
      <c r="W50" s="22"/>
      <c r="X50" s="22"/>
      <c r="Y50" s="22"/>
      <c r="Z50" s="22"/>
      <c r="AA50" s="22"/>
      <c r="AB50" s="22"/>
      <c r="AC50" s="22"/>
      <c r="AD50" s="22"/>
      <c r="AE50" s="22"/>
      <c r="AF50" s="22"/>
      <c r="AG50" s="22"/>
      <c r="AH50" s="22"/>
      <c r="AI50" s="22"/>
      <c r="AJ50" s="22"/>
    </row>
    <row r="51" spans="11:36" x14ac:dyDescent="0.15">
      <c r="K51" s="22"/>
      <c r="L51" s="7"/>
      <c r="M51" s="86"/>
      <c r="N51" s="22"/>
      <c r="O51" s="22"/>
      <c r="P51" s="22"/>
      <c r="Q51" s="22"/>
      <c r="R51" s="22"/>
      <c r="S51" s="22"/>
      <c r="T51" s="22"/>
      <c r="U51" s="22"/>
      <c r="V51" s="22"/>
      <c r="W51" s="22"/>
      <c r="X51" s="22"/>
      <c r="Y51" s="22"/>
      <c r="Z51" s="22"/>
      <c r="AA51" s="22"/>
      <c r="AB51" s="22"/>
      <c r="AC51" s="22"/>
      <c r="AD51" s="22"/>
      <c r="AE51" s="22"/>
      <c r="AF51" s="22"/>
      <c r="AG51" s="22"/>
      <c r="AH51" s="22"/>
      <c r="AI51" s="22"/>
      <c r="AJ51" s="22"/>
    </row>
    <row r="52" spans="11:36" x14ac:dyDescent="0.15">
      <c r="K52" s="22"/>
      <c r="L52" s="7"/>
      <c r="M52" s="86"/>
      <c r="N52" s="22"/>
      <c r="O52" s="22"/>
      <c r="P52" s="22"/>
      <c r="Q52" s="22"/>
      <c r="R52" s="22"/>
      <c r="S52" s="22"/>
      <c r="T52" s="22"/>
      <c r="U52" s="22"/>
      <c r="V52" s="22"/>
      <c r="W52" s="22"/>
      <c r="X52" s="22"/>
      <c r="Y52" s="22"/>
      <c r="Z52" s="22"/>
      <c r="AA52" s="22"/>
      <c r="AB52" s="22"/>
      <c r="AC52" s="22"/>
      <c r="AD52" s="22"/>
      <c r="AE52" s="22"/>
      <c r="AF52" s="22"/>
      <c r="AG52" s="22"/>
      <c r="AH52" s="22"/>
      <c r="AI52" s="22"/>
      <c r="AJ52" s="22"/>
    </row>
    <row r="53" spans="11:36" x14ac:dyDescent="0.15">
      <c r="K53" s="22"/>
      <c r="L53" s="7"/>
      <c r="M53" s="86"/>
      <c r="N53" s="22"/>
      <c r="O53" s="22"/>
      <c r="P53" s="22"/>
      <c r="Q53" s="22"/>
      <c r="R53" s="22"/>
      <c r="S53" s="22"/>
      <c r="T53" s="22"/>
      <c r="U53" s="22"/>
      <c r="V53" s="22"/>
      <c r="W53" s="22"/>
      <c r="X53" s="22"/>
      <c r="Y53" s="22"/>
      <c r="Z53" s="22"/>
      <c r="AA53" s="22"/>
      <c r="AB53" s="22"/>
      <c r="AC53" s="22"/>
      <c r="AD53" s="22"/>
      <c r="AE53" s="22"/>
      <c r="AF53" s="22"/>
      <c r="AG53" s="22"/>
      <c r="AH53" s="22"/>
      <c r="AI53" s="22"/>
      <c r="AJ53" s="22"/>
    </row>
    <row r="54" spans="11:36" x14ac:dyDescent="0.15">
      <c r="K54" s="22"/>
      <c r="L54" s="7"/>
      <c r="M54" s="86"/>
      <c r="N54" s="22"/>
      <c r="O54" s="22"/>
      <c r="P54" s="22"/>
      <c r="Q54" s="22"/>
      <c r="R54" s="22"/>
      <c r="S54" s="22"/>
      <c r="T54" s="22"/>
      <c r="U54" s="22"/>
      <c r="V54" s="22"/>
      <c r="W54" s="22"/>
      <c r="X54" s="22"/>
      <c r="Y54" s="22"/>
      <c r="Z54" s="22"/>
      <c r="AA54" s="22"/>
      <c r="AB54" s="22"/>
      <c r="AC54" s="22"/>
      <c r="AD54" s="22"/>
      <c r="AE54" s="22"/>
      <c r="AF54" s="22"/>
      <c r="AG54" s="22"/>
      <c r="AH54" s="22"/>
      <c r="AI54" s="22"/>
      <c r="AJ54" s="22"/>
    </row>
    <row r="55" spans="11:36" x14ac:dyDescent="0.15">
      <c r="K55" s="22"/>
      <c r="L55" s="7"/>
      <c r="M55" s="86"/>
      <c r="N55" s="22"/>
      <c r="O55" s="22"/>
      <c r="P55" s="22"/>
      <c r="Q55" s="22"/>
      <c r="R55" s="22"/>
      <c r="S55" s="22"/>
      <c r="T55" s="22"/>
      <c r="U55" s="22"/>
      <c r="V55" s="22"/>
      <c r="W55" s="22"/>
      <c r="X55" s="22"/>
      <c r="Y55" s="22"/>
      <c r="Z55" s="22"/>
      <c r="AA55" s="22"/>
      <c r="AB55" s="22"/>
      <c r="AC55" s="22"/>
      <c r="AD55" s="22"/>
      <c r="AE55" s="22"/>
      <c r="AF55" s="22"/>
      <c r="AG55" s="22"/>
      <c r="AH55" s="22"/>
      <c r="AI55" s="22"/>
      <c r="AJ55" s="22"/>
    </row>
    <row r="56" spans="11:36" x14ac:dyDescent="0.15">
      <c r="K56" s="22"/>
      <c r="L56" s="7"/>
      <c r="M56" s="86"/>
      <c r="N56" s="22"/>
      <c r="O56" s="22"/>
      <c r="P56" s="22"/>
      <c r="Q56" s="22"/>
      <c r="R56" s="22"/>
      <c r="S56" s="22"/>
      <c r="T56" s="22"/>
      <c r="U56" s="22"/>
      <c r="V56" s="22"/>
      <c r="W56" s="22"/>
      <c r="X56" s="22"/>
      <c r="Y56" s="22"/>
      <c r="Z56" s="22"/>
      <c r="AA56" s="22"/>
      <c r="AB56" s="22"/>
      <c r="AC56" s="22"/>
      <c r="AD56" s="22"/>
      <c r="AE56" s="22"/>
      <c r="AF56" s="22"/>
      <c r="AG56" s="22"/>
      <c r="AH56" s="22"/>
      <c r="AI56" s="22"/>
      <c r="AJ56" s="22"/>
    </row>
    <row r="57" spans="11:36" x14ac:dyDescent="0.15">
      <c r="K57" s="22"/>
      <c r="L57" s="7"/>
      <c r="M57" s="86"/>
      <c r="N57" s="22"/>
      <c r="O57" s="22"/>
      <c r="P57" s="22"/>
      <c r="Q57" s="22"/>
      <c r="R57" s="22"/>
      <c r="S57" s="22"/>
      <c r="T57" s="22"/>
      <c r="U57" s="22"/>
      <c r="V57" s="22"/>
      <c r="W57" s="22"/>
      <c r="X57" s="22"/>
      <c r="Y57" s="22"/>
      <c r="Z57" s="22"/>
      <c r="AA57" s="22"/>
      <c r="AB57" s="22"/>
      <c r="AC57" s="22"/>
      <c r="AD57" s="22"/>
      <c r="AE57" s="22"/>
      <c r="AF57" s="22"/>
      <c r="AG57" s="22"/>
      <c r="AH57" s="22"/>
      <c r="AI57" s="22"/>
      <c r="AJ57" s="22"/>
    </row>
    <row r="58" spans="11:36" x14ac:dyDescent="0.15">
      <c r="K58" s="22"/>
      <c r="L58" s="7"/>
      <c r="M58" s="86"/>
      <c r="N58" s="22"/>
      <c r="O58" s="22"/>
      <c r="P58" s="22"/>
      <c r="Q58" s="22"/>
      <c r="R58" s="22"/>
      <c r="S58" s="22"/>
      <c r="T58" s="22"/>
      <c r="U58" s="22"/>
      <c r="V58" s="22"/>
      <c r="W58" s="22"/>
      <c r="X58" s="22"/>
      <c r="Y58" s="22"/>
      <c r="Z58" s="22"/>
      <c r="AA58" s="22"/>
      <c r="AB58" s="22"/>
      <c r="AC58" s="22"/>
      <c r="AD58" s="22"/>
      <c r="AE58" s="22"/>
      <c r="AF58" s="22"/>
      <c r="AG58" s="22"/>
      <c r="AH58" s="22"/>
      <c r="AI58" s="22"/>
      <c r="AJ58" s="22"/>
    </row>
    <row r="59" spans="11:36" x14ac:dyDescent="0.15">
      <c r="K59" s="22"/>
      <c r="L59" s="7"/>
      <c r="M59" s="86"/>
      <c r="N59" s="22"/>
      <c r="O59" s="22"/>
      <c r="P59" s="22"/>
      <c r="Q59" s="22"/>
      <c r="R59" s="22"/>
      <c r="S59" s="22"/>
      <c r="T59" s="22"/>
      <c r="U59" s="22"/>
      <c r="V59" s="22"/>
      <c r="W59" s="22"/>
      <c r="X59" s="22"/>
      <c r="Y59" s="22"/>
      <c r="Z59" s="22"/>
      <c r="AA59" s="22"/>
      <c r="AB59" s="22"/>
      <c r="AC59" s="22"/>
      <c r="AD59" s="22"/>
      <c r="AE59" s="22"/>
      <c r="AF59" s="22"/>
      <c r="AG59" s="22"/>
      <c r="AH59" s="22"/>
      <c r="AI59" s="22"/>
      <c r="AJ59" s="22"/>
    </row>
    <row r="60" spans="11:36" x14ac:dyDescent="0.15">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row>
    <row r="61" spans="11:36" x14ac:dyDescent="0.15">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row>
    <row r="62" spans="11:36" x14ac:dyDescent="0.15">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row>
    <row r="63" spans="11:36" x14ac:dyDescent="0.15">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row>
  </sheetData>
  <mergeCells count="2">
    <mergeCell ref="A21:C21"/>
    <mergeCell ref="E21:I21"/>
  </mergeCells>
  <phoneticPr fontId="2"/>
  <pageMargins left="0.70866141732283472" right="0.70866141732283472" top="0.74803149606299213" bottom="0.74803149606299213" header="0.31496062992125984" footer="0.31496062992125984"/>
  <pageSetup paperSize="11" scale="4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Button 1">
              <controlPr defaultSize="0" print="0" autoFill="0" autoPict="0" macro="[0]!データ削除11">
                <anchor moveWithCells="1" sizeWithCells="1">
                  <from>
                    <xdr:col>11</xdr:col>
                    <xdr:colOff>0</xdr:colOff>
                    <xdr:row>3</xdr:row>
                    <xdr:rowOff>190500</xdr:rowOff>
                  </from>
                  <to>
                    <xdr:col>11</xdr:col>
                    <xdr:colOff>2105025</xdr:colOff>
                    <xdr:row>5</xdr:row>
                    <xdr:rowOff>200025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C000"/>
  </sheetPr>
  <dimension ref="A1:Q101"/>
  <sheetViews>
    <sheetView showGridLines="0" zoomScaleNormal="100" zoomScaleSheetLayoutView="100" workbookViewId="0">
      <selection activeCell="G7" sqref="G7"/>
    </sheetView>
  </sheetViews>
  <sheetFormatPr defaultRowHeight="18.75" x14ac:dyDescent="0.15"/>
  <cols>
    <col min="1" max="1" width="18.25" style="1" customWidth="1"/>
    <col min="2" max="3" width="9.375" style="1" customWidth="1"/>
    <col min="4" max="4" width="3.375" style="1" customWidth="1"/>
    <col min="5" max="5" width="18.25" style="1" customWidth="1"/>
    <col min="6" max="7" width="9.375" style="1" customWidth="1"/>
    <col min="8" max="8" width="9" style="1"/>
    <col min="9" max="13" width="12" style="1" hidden="1" customWidth="1"/>
    <col min="14" max="17" width="9" style="1" hidden="1" customWidth="1"/>
    <col min="18" max="18" width="0" style="1" hidden="1" customWidth="1"/>
    <col min="19" max="16384" width="9" style="1"/>
  </cols>
  <sheetData>
    <row r="1" spans="1:15" s="3" customFormat="1" ht="19.5" x14ac:dyDescent="0.15">
      <c r="A1" s="2" t="s">
        <v>204</v>
      </c>
    </row>
    <row r="2" spans="1:15" s="3" customFormat="1" ht="19.5" x14ac:dyDescent="0.15">
      <c r="A2" s="2"/>
      <c r="I2" s="56" t="s">
        <v>63</v>
      </c>
    </row>
    <row r="3" spans="1:15" ht="20.25" thickBot="1" x14ac:dyDescent="0.2">
      <c r="A3" s="4" t="s">
        <v>13</v>
      </c>
      <c r="E3" s="4" t="s">
        <v>113</v>
      </c>
      <c r="I3" s="387" t="s">
        <v>298</v>
      </c>
      <c r="J3" s="494" t="s">
        <v>278</v>
      </c>
      <c r="K3" s="3"/>
      <c r="L3" s="387" t="s">
        <v>298</v>
      </c>
      <c r="M3" s="501" t="s">
        <v>275</v>
      </c>
    </row>
    <row r="4" spans="1:15" ht="20.25" thickTop="1" thickBot="1" x14ac:dyDescent="0.2">
      <c r="A4" s="335"/>
      <c r="B4" s="336" t="s">
        <v>0</v>
      </c>
      <c r="C4" s="336" t="s">
        <v>1</v>
      </c>
      <c r="E4" s="335"/>
      <c r="F4" s="336" t="s">
        <v>0</v>
      </c>
      <c r="G4" s="336" t="s">
        <v>1</v>
      </c>
      <c r="I4" s="420" t="s">
        <v>370</v>
      </c>
      <c r="J4" s="35" t="s">
        <v>581</v>
      </c>
      <c r="L4" s="420" t="s">
        <v>370</v>
      </c>
      <c r="M4" s="35" t="s">
        <v>581</v>
      </c>
    </row>
    <row r="5" spans="1:15" ht="19.5" thickTop="1" x14ac:dyDescent="0.15">
      <c r="A5" s="302" t="s">
        <v>94</v>
      </c>
      <c r="B5" s="334">
        <f>IFERROR(VLOOKUP($O5,年齢区分＿65歳以上[#All],2,FALSE),0)</f>
        <v>1408</v>
      </c>
      <c r="C5" s="471">
        <f>IFERROR(B5/B$11,"-")</f>
        <v>0.15312669929309408</v>
      </c>
      <c r="E5" s="302" t="s">
        <v>94</v>
      </c>
      <c r="F5" s="334">
        <f>IFERROR(VLOOKUP($O5,年齢区分＿65歳以上＿寛解・院内寛解[#All],2,FALSE),0)</f>
        <v>146</v>
      </c>
      <c r="G5" s="471">
        <f>IFERROR(F5/F$11,"-")</f>
        <v>0.17298578199052134</v>
      </c>
      <c r="I5" s="56" t="s">
        <v>300</v>
      </c>
      <c r="J5" s="380">
        <v>1408</v>
      </c>
      <c r="K5" s="11"/>
      <c r="L5" s="56" t="s">
        <v>300</v>
      </c>
      <c r="M5" s="380">
        <v>146</v>
      </c>
      <c r="O5" s="425" t="s">
        <v>300</v>
      </c>
    </row>
    <row r="6" spans="1:15" x14ac:dyDescent="0.15">
      <c r="A6" s="302" t="s">
        <v>95</v>
      </c>
      <c r="B6" s="334">
        <f>IFERROR(VLOOKUP($O6,年齢区分＿65歳以上[#All],2,FALSE),0)</f>
        <v>2154</v>
      </c>
      <c r="C6" s="471">
        <f t="shared" ref="C6:C10" si="0">IFERROR(B6/B$11,"-")</f>
        <v>0.23425774877650898</v>
      </c>
      <c r="E6" s="302" t="s">
        <v>95</v>
      </c>
      <c r="F6" s="261">
        <f>IFERROR(VLOOKUP($O6,年齢区分＿65歳以上＿寛解・院内寛解[#All],2,FALSE),0)</f>
        <v>216</v>
      </c>
      <c r="G6" s="471">
        <f t="shared" ref="G6:G10" si="1">IFERROR(F6/F$11,"-")</f>
        <v>0.25592417061611372</v>
      </c>
      <c r="I6" s="56" t="s">
        <v>301</v>
      </c>
      <c r="J6" s="380">
        <v>2154</v>
      </c>
      <c r="K6" s="14"/>
      <c r="L6" s="56" t="s">
        <v>301</v>
      </c>
      <c r="M6" s="380">
        <v>216</v>
      </c>
      <c r="O6" s="383" t="s">
        <v>301</v>
      </c>
    </row>
    <row r="7" spans="1:15" x14ac:dyDescent="0.15">
      <c r="A7" s="302" t="s">
        <v>96</v>
      </c>
      <c r="B7" s="334">
        <f>IFERROR(VLOOKUP($O7,年齢区分＿65歳以上[#All],2,FALSE),0)</f>
        <v>1777</v>
      </c>
      <c r="C7" s="471">
        <f t="shared" si="0"/>
        <v>0.19325720500271887</v>
      </c>
      <c r="E7" s="302" t="s">
        <v>96</v>
      </c>
      <c r="F7" s="261">
        <f>IFERROR(VLOOKUP($O7,年齢区分＿65歳以上＿寛解・院内寛解[#All],2,FALSE),0)</f>
        <v>191</v>
      </c>
      <c r="G7" s="471">
        <f t="shared" si="1"/>
        <v>0.22630331753554503</v>
      </c>
      <c r="I7" s="56" t="s">
        <v>302</v>
      </c>
      <c r="J7" s="380">
        <v>1777</v>
      </c>
      <c r="K7" s="14"/>
      <c r="L7" s="56" t="s">
        <v>302</v>
      </c>
      <c r="M7" s="380">
        <v>191</v>
      </c>
      <c r="O7" s="383" t="s">
        <v>302</v>
      </c>
    </row>
    <row r="8" spans="1:15" x14ac:dyDescent="0.15">
      <c r="A8" s="302" t="s">
        <v>97</v>
      </c>
      <c r="B8" s="334">
        <f>IFERROR(VLOOKUP($O8,年齢区分＿65歳以上[#All],2,FALSE),0)</f>
        <v>1780</v>
      </c>
      <c r="C8" s="471">
        <f t="shared" si="0"/>
        <v>0.19358346927678086</v>
      </c>
      <c r="E8" s="302" t="s">
        <v>97</v>
      </c>
      <c r="F8" s="261">
        <f>IFERROR(VLOOKUP($O8,年齢区分＿65歳以上＿寛解・院内寛解[#All],2,FALSE),0)</f>
        <v>150</v>
      </c>
      <c r="G8" s="471">
        <f t="shared" si="1"/>
        <v>0.17772511848341233</v>
      </c>
      <c r="I8" s="56" t="s">
        <v>303</v>
      </c>
      <c r="J8" s="380">
        <v>1780</v>
      </c>
      <c r="K8" s="17"/>
      <c r="L8" s="56" t="s">
        <v>303</v>
      </c>
      <c r="M8" s="380">
        <v>150</v>
      </c>
      <c r="O8" s="383" t="s">
        <v>303</v>
      </c>
    </row>
    <row r="9" spans="1:15" x14ac:dyDescent="0.15">
      <c r="A9" s="302" t="s">
        <v>98</v>
      </c>
      <c r="B9" s="334">
        <f>IFERROR(VLOOKUP($O9,年齢区分＿65歳以上[#All],2,FALSE),0)</f>
        <v>1368</v>
      </c>
      <c r="C9" s="471">
        <f t="shared" si="0"/>
        <v>0.14877650897226755</v>
      </c>
      <c r="E9" s="302" t="s">
        <v>98</v>
      </c>
      <c r="F9" s="261">
        <f>IFERROR(VLOOKUP($O9,年齢区分＿65歳以上＿寛解・院内寛解[#All],2,FALSE),0)</f>
        <v>98</v>
      </c>
      <c r="G9" s="471">
        <f t="shared" si="1"/>
        <v>0.11611374407582939</v>
      </c>
      <c r="I9" s="56" t="s">
        <v>304</v>
      </c>
      <c r="J9" s="380">
        <v>1368</v>
      </c>
      <c r="K9" s="17"/>
      <c r="L9" s="56" t="s">
        <v>304</v>
      </c>
      <c r="M9" s="380">
        <v>98</v>
      </c>
      <c r="O9" s="383" t="s">
        <v>304</v>
      </c>
    </row>
    <row r="10" spans="1:15" x14ac:dyDescent="0.15">
      <c r="A10" s="302" t="s">
        <v>162</v>
      </c>
      <c r="B10" s="334">
        <f>IFERROR(VLOOKUP($O10,年齢区分＿65歳以上[#All],2,FALSE),0)</f>
        <v>708</v>
      </c>
      <c r="C10" s="471">
        <f t="shared" si="0"/>
        <v>7.6998368678629692E-2</v>
      </c>
      <c r="E10" s="302" t="s">
        <v>162</v>
      </c>
      <c r="F10" s="261">
        <f>IFERROR(VLOOKUP($O10,年齢区分＿65歳以上＿寛解・院内寛解[#All],2,FALSE),0)</f>
        <v>43</v>
      </c>
      <c r="G10" s="471">
        <f t="shared" si="1"/>
        <v>5.0947867298578198E-2</v>
      </c>
      <c r="I10" s="56" t="s">
        <v>10</v>
      </c>
      <c r="J10" s="380">
        <v>708</v>
      </c>
      <c r="K10" s="17"/>
      <c r="L10" s="56" t="s">
        <v>10</v>
      </c>
      <c r="M10" s="380">
        <v>43</v>
      </c>
      <c r="O10" s="383" t="s">
        <v>10</v>
      </c>
    </row>
    <row r="11" spans="1:15" x14ac:dyDescent="0.15">
      <c r="A11" s="335" t="s">
        <v>160</v>
      </c>
      <c r="B11" s="337">
        <f>SUM(B5:B10)</f>
        <v>9195</v>
      </c>
      <c r="C11" s="338">
        <f>SUM(C5:C10)</f>
        <v>1</v>
      </c>
      <c r="E11" s="335" t="s">
        <v>160</v>
      </c>
      <c r="F11" s="337">
        <f>SUM(F5:F10)</f>
        <v>844</v>
      </c>
      <c r="G11" s="338">
        <f>SUM(G5:G10)</f>
        <v>1</v>
      </c>
      <c r="I11" s="56"/>
      <c r="J11" s="380"/>
      <c r="K11" s="17"/>
      <c r="L11" s="56"/>
      <c r="M11" s="380"/>
    </row>
    <row r="12" spans="1:15" x14ac:dyDescent="0.15">
      <c r="A12" s="302" t="s">
        <v>202</v>
      </c>
      <c r="B12" s="303">
        <f>B5+B6</f>
        <v>3562</v>
      </c>
      <c r="C12" s="471">
        <f>IFERROR(B12/B$11,"-")</f>
        <v>0.38738444806960304</v>
      </c>
      <c r="E12" s="302" t="s">
        <v>202</v>
      </c>
      <c r="F12" s="303">
        <f>F5+F6</f>
        <v>362</v>
      </c>
      <c r="G12" s="471">
        <f>IFERROR(F12/F$11,"-")</f>
        <v>0.42890995260663506</v>
      </c>
      <c r="I12" s="56"/>
      <c r="J12" s="380"/>
      <c r="K12" s="17"/>
      <c r="L12" s="56"/>
      <c r="M12" s="380"/>
    </row>
    <row r="13" spans="1:15" x14ac:dyDescent="0.15">
      <c r="A13" s="302" t="s">
        <v>203</v>
      </c>
      <c r="B13" s="303">
        <f>B7+B8+B9+B10</f>
        <v>5633</v>
      </c>
      <c r="C13" s="471">
        <f>IFERROR(B13/B$11,"-")</f>
        <v>0.61261555193039696</v>
      </c>
      <c r="E13" s="302" t="s">
        <v>203</v>
      </c>
      <c r="F13" s="303">
        <f>F7+F8+F9+F10</f>
        <v>482</v>
      </c>
      <c r="G13" s="471">
        <f>IFERROR(F13/F$11,"-")</f>
        <v>0.57109004739336489</v>
      </c>
      <c r="I13" s="56"/>
      <c r="J13" s="380"/>
      <c r="K13" s="17"/>
      <c r="L13" s="56"/>
      <c r="M13" s="380"/>
    </row>
    <row r="14" spans="1:15" ht="19.5" customHeight="1" x14ac:dyDescent="0.15">
      <c r="I14" s="15"/>
      <c r="J14" s="61"/>
      <c r="K14" s="17"/>
      <c r="L14" s="15"/>
      <c r="M14" s="61"/>
    </row>
    <row r="15" spans="1:15" ht="19.5" customHeight="1" x14ac:dyDescent="0.15">
      <c r="K15" s="144"/>
    </row>
    <row r="16" spans="1:15" ht="19.5" customHeight="1" x14ac:dyDescent="0.15">
      <c r="K16" s="144"/>
    </row>
    <row r="17" spans="1:11" ht="19.5" customHeight="1" x14ac:dyDescent="0.15">
      <c r="K17" s="144"/>
    </row>
    <row r="18" spans="1:11" ht="19.5" customHeight="1" x14ac:dyDescent="0.15">
      <c r="K18" s="144"/>
    </row>
    <row r="19" spans="1:11" ht="19.5" customHeight="1" x14ac:dyDescent="0.15">
      <c r="K19" s="144"/>
    </row>
    <row r="20" spans="1:11" ht="19.5" customHeight="1" x14ac:dyDescent="0.15">
      <c r="K20" s="144"/>
    </row>
    <row r="21" spans="1:11" ht="19.5" customHeight="1" x14ac:dyDescent="0.15">
      <c r="K21" s="144"/>
    </row>
    <row r="22" spans="1:11" ht="19.5" customHeight="1" x14ac:dyDescent="0.15">
      <c r="K22" s="144"/>
    </row>
    <row r="23" spans="1:11" x14ac:dyDescent="0.15">
      <c r="A23" s="139"/>
      <c r="B23" s="175"/>
      <c r="C23" s="176"/>
      <c r="K23" s="144"/>
    </row>
    <row r="24" spans="1:11" x14ac:dyDescent="0.15">
      <c r="A24" s="150"/>
      <c r="B24" s="177"/>
      <c r="C24" s="178"/>
    </row>
    <row r="25" spans="1:11" x14ac:dyDescent="0.15">
      <c r="A25" s="150"/>
      <c r="B25" s="177"/>
      <c r="C25" s="178"/>
    </row>
    <row r="26" spans="1:11" x14ac:dyDescent="0.15">
      <c r="A26" s="150"/>
      <c r="B26" s="177"/>
      <c r="C26" s="178"/>
    </row>
    <row r="28" spans="1:11" x14ac:dyDescent="0.15">
      <c r="D28" s="4"/>
    </row>
    <row r="29" spans="1:11" x14ac:dyDescent="0.15">
      <c r="D29" s="4"/>
    </row>
    <row r="32" spans="1:11" x14ac:dyDescent="0.15">
      <c r="B32" s="142"/>
      <c r="C32" s="33"/>
      <c r="D32" s="33"/>
    </row>
    <row r="33" spans="1:8" x14ac:dyDescent="0.15">
      <c r="B33" s="38"/>
      <c r="C33" s="39"/>
      <c r="D33" s="36"/>
      <c r="G33" s="39"/>
      <c r="H33" s="39"/>
    </row>
    <row r="34" spans="1:8" x14ac:dyDescent="0.15">
      <c r="B34" s="38"/>
      <c r="C34" s="39"/>
      <c r="D34" s="36"/>
      <c r="G34" s="39"/>
      <c r="H34" s="39"/>
    </row>
    <row r="35" spans="1:8" x14ac:dyDescent="0.15">
      <c r="B35" s="38"/>
      <c r="C35" s="39"/>
      <c r="D35" s="36"/>
      <c r="G35" s="39"/>
      <c r="H35" s="39"/>
    </row>
    <row r="36" spans="1:8" x14ac:dyDescent="0.15">
      <c r="B36" s="38"/>
      <c r="C36" s="39"/>
      <c r="D36" s="36"/>
      <c r="G36" s="39"/>
      <c r="H36" s="39"/>
    </row>
    <row r="37" spans="1:8" x14ac:dyDescent="0.15">
      <c r="A37" s="22"/>
      <c r="B37" s="7"/>
      <c r="C37" s="8"/>
      <c r="D37" s="49"/>
      <c r="E37" s="22"/>
      <c r="G37" s="8"/>
      <c r="H37" s="8"/>
    </row>
    <row r="38" spans="1:8" x14ac:dyDescent="0.15">
      <c r="A38" s="22"/>
      <c r="B38" s="7"/>
      <c r="C38" s="8"/>
      <c r="D38" s="49"/>
      <c r="E38" s="22"/>
      <c r="F38" s="22"/>
      <c r="G38" s="8"/>
      <c r="H38" s="8"/>
    </row>
    <row r="39" spans="1:8" x14ac:dyDescent="0.15">
      <c r="A39" s="22"/>
      <c r="B39" s="7"/>
      <c r="C39" s="8"/>
      <c r="D39" s="49"/>
      <c r="E39" s="22"/>
      <c r="F39" s="22"/>
      <c r="G39" s="8"/>
      <c r="H39" s="8"/>
    </row>
    <row r="40" spans="1:8" x14ac:dyDescent="0.15">
      <c r="A40" s="22"/>
      <c r="B40" s="7"/>
      <c r="C40" s="8"/>
      <c r="D40" s="49"/>
      <c r="E40" s="22"/>
      <c r="F40" s="22"/>
      <c r="G40" s="8"/>
      <c r="H40" s="8"/>
    </row>
    <row r="41" spans="1:8" x14ac:dyDescent="0.15">
      <c r="A41" s="22"/>
      <c r="B41" s="7"/>
      <c r="C41" s="8"/>
      <c r="D41" s="49"/>
      <c r="E41" s="22"/>
      <c r="F41" s="22"/>
      <c r="G41" s="8"/>
      <c r="H41" s="8"/>
    </row>
    <row r="42" spans="1:8" x14ac:dyDescent="0.15">
      <c r="A42" s="22"/>
      <c r="B42" s="7"/>
      <c r="C42" s="8"/>
      <c r="D42" s="49"/>
      <c r="E42" s="22"/>
      <c r="F42" s="22"/>
      <c r="G42" s="8"/>
      <c r="H42" s="8"/>
    </row>
    <row r="43" spans="1:8" x14ac:dyDescent="0.15">
      <c r="A43" s="22"/>
      <c r="B43" s="7"/>
      <c r="C43" s="8"/>
      <c r="D43" s="49"/>
      <c r="E43" s="22"/>
      <c r="F43" s="22"/>
      <c r="G43" s="8"/>
      <c r="H43" s="8"/>
    </row>
    <row r="44" spans="1:8" x14ac:dyDescent="0.15">
      <c r="A44" s="22"/>
      <c r="B44" s="7"/>
      <c r="C44" s="8"/>
      <c r="D44" s="49"/>
      <c r="E44" s="22"/>
      <c r="F44" s="22"/>
      <c r="G44" s="8"/>
      <c r="H44" s="8"/>
    </row>
    <row r="45" spans="1:8" x14ac:dyDescent="0.15">
      <c r="A45" s="22"/>
      <c r="B45" s="7"/>
      <c r="C45" s="8"/>
      <c r="D45" s="49"/>
      <c r="E45" s="22"/>
      <c r="F45" s="22"/>
      <c r="G45" s="8"/>
      <c r="H45" s="8"/>
    </row>
    <row r="46" spans="1:8" x14ac:dyDescent="0.15">
      <c r="A46" s="22"/>
      <c r="B46" s="7"/>
      <c r="C46" s="8"/>
      <c r="D46" s="49"/>
      <c r="E46" s="22"/>
      <c r="F46" s="22"/>
      <c r="G46" s="8"/>
      <c r="H46" s="8"/>
    </row>
    <row r="47" spans="1:8" x14ac:dyDescent="0.15">
      <c r="A47" s="22"/>
      <c r="B47" s="7"/>
      <c r="C47" s="8"/>
      <c r="D47" s="49"/>
      <c r="E47" s="22"/>
      <c r="F47" s="22"/>
      <c r="G47" s="8"/>
      <c r="H47" s="8"/>
    </row>
    <row r="48" spans="1:8" x14ac:dyDescent="0.15">
      <c r="A48" s="22"/>
      <c r="B48" s="7"/>
      <c r="C48" s="8"/>
      <c r="D48" s="49"/>
      <c r="E48" s="22"/>
      <c r="F48" s="22"/>
      <c r="G48" s="8"/>
      <c r="H48" s="8"/>
    </row>
    <row r="49" spans="1:8" x14ac:dyDescent="0.15">
      <c r="A49" s="22"/>
      <c r="B49" s="7"/>
      <c r="C49" s="8"/>
      <c r="D49" s="49"/>
      <c r="E49" s="22"/>
      <c r="F49" s="22"/>
      <c r="G49" s="8"/>
      <c r="H49" s="8"/>
    </row>
    <row r="50" spans="1:8" x14ac:dyDescent="0.15">
      <c r="A50" s="22"/>
      <c r="B50" s="7"/>
      <c r="C50" s="8"/>
      <c r="D50" s="49"/>
      <c r="E50" s="22"/>
      <c r="F50" s="22"/>
      <c r="G50" s="8"/>
      <c r="H50" s="8"/>
    </row>
    <row r="51" spans="1:8" x14ac:dyDescent="0.15">
      <c r="A51" s="22"/>
      <c r="B51" s="7"/>
      <c r="C51" s="8"/>
      <c r="D51" s="49"/>
      <c r="E51" s="22"/>
      <c r="F51" s="22"/>
      <c r="G51" s="8"/>
      <c r="H51" s="8"/>
    </row>
    <row r="52" spans="1:8" x14ac:dyDescent="0.15">
      <c r="A52" s="22"/>
      <c r="B52" s="7"/>
      <c r="C52" s="8"/>
      <c r="D52" s="49"/>
      <c r="E52" s="22"/>
      <c r="F52" s="22"/>
      <c r="G52" s="8"/>
      <c r="H52" s="8"/>
    </row>
    <row r="53" spans="1:8" x14ac:dyDescent="0.15">
      <c r="A53" s="22"/>
      <c r="B53" s="7"/>
      <c r="C53" s="8"/>
      <c r="D53" s="49"/>
      <c r="E53" s="22"/>
      <c r="F53" s="22"/>
      <c r="G53" s="8"/>
      <c r="H53" s="8"/>
    </row>
    <row r="54" spans="1:8" x14ac:dyDescent="0.15">
      <c r="A54" s="22"/>
      <c r="B54" s="7"/>
      <c r="C54" s="8"/>
      <c r="D54" s="49"/>
      <c r="E54" s="22"/>
      <c r="F54" s="22"/>
      <c r="G54" s="8"/>
      <c r="H54" s="8"/>
    </row>
    <row r="55" spans="1:8" x14ac:dyDescent="0.15">
      <c r="A55" s="22"/>
      <c r="B55" s="7"/>
      <c r="C55" s="8"/>
      <c r="D55" s="49"/>
      <c r="E55" s="22"/>
      <c r="F55" s="22"/>
      <c r="G55" s="8"/>
      <c r="H55" s="8"/>
    </row>
    <row r="56" spans="1:8" x14ac:dyDescent="0.15">
      <c r="A56" s="22"/>
      <c r="B56" s="7"/>
      <c r="C56" s="8"/>
      <c r="D56" s="49"/>
      <c r="E56" s="22"/>
      <c r="F56" s="22"/>
      <c r="G56" s="8"/>
      <c r="H56" s="8"/>
    </row>
    <row r="57" spans="1:8" x14ac:dyDescent="0.15">
      <c r="A57" s="22"/>
      <c r="B57" s="7"/>
      <c r="C57" s="8"/>
      <c r="D57" s="49"/>
      <c r="E57" s="22"/>
      <c r="F57" s="22"/>
      <c r="G57" s="8"/>
      <c r="H57" s="8"/>
    </row>
    <row r="58" spans="1:8" x14ac:dyDescent="0.15">
      <c r="A58" s="22"/>
      <c r="B58" s="7"/>
      <c r="C58" s="8"/>
      <c r="D58" s="49"/>
      <c r="E58" s="22"/>
      <c r="F58" s="22"/>
      <c r="G58" s="8"/>
      <c r="H58" s="8"/>
    </row>
    <row r="59" spans="1:8" x14ac:dyDescent="0.15">
      <c r="A59" s="22"/>
      <c r="B59" s="7"/>
      <c r="C59" s="8"/>
      <c r="D59" s="49"/>
      <c r="E59" s="22"/>
      <c r="F59" s="22"/>
      <c r="G59" s="8"/>
      <c r="H59" s="8"/>
    </row>
    <row r="60" spans="1:8" x14ac:dyDescent="0.15">
      <c r="A60" s="22"/>
      <c r="B60" s="7"/>
      <c r="C60" s="8"/>
      <c r="D60" s="49"/>
      <c r="E60" s="22"/>
      <c r="F60" s="22"/>
      <c r="G60" s="8"/>
      <c r="H60" s="8"/>
    </row>
    <row r="61" spans="1:8" x14ac:dyDescent="0.15">
      <c r="A61" s="22"/>
      <c r="B61" s="7"/>
      <c r="C61" s="8"/>
      <c r="D61" s="49"/>
      <c r="E61" s="22"/>
      <c r="F61" s="22"/>
      <c r="G61" s="8"/>
      <c r="H61" s="8"/>
    </row>
    <row r="62" spans="1:8" x14ac:dyDescent="0.15">
      <c r="A62" s="22"/>
      <c r="B62" s="7"/>
      <c r="C62" s="8"/>
      <c r="D62" s="49"/>
      <c r="E62" s="22"/>
      <c r="F62" s="22"/>
      <c r="G62" s="8"/>
      <c r="H62" s="8"/>
    </row>
    <row r="63" spans="1:8" x14ac:dyDescent="0.15">
      <c r="A63" s="22"/>
      <c r="B63" s="7"/>
      <c r="C63" s="8"/>
      <c r="D63" s="49"/>
      <c r="E63" s="22"/>
      <c r="F63" s="22"/>
      <c r="G63" s="8"/>
      <c r="H63" s="179"/>
    </row>
    <row r="64" spans="1:8" x14ac:dyDescent="0.15">
      <c r="A64" s="22"/>
      <c r="B64" s="7"/>
      <c r="C64" s="8"/>
      <c r="D64" s="49"/>
      <c r="E64" s="22"/>
      <c r="F64" s="22"/>
      <c r="G64" s="8"/>
      <c r="H64" s="22"/>
    </row>
    <row r="65" spans="1:8" x14ac:dyDescent="0.15">
      <c r="A65" s="22"/>
      <c r="B65" s="7"/>
      <c r="C65" s="8"/>
      <c r="D65" s="49"/>
      <c r="E65" s="22"/>
      <c r="F65" s="22"/>
      <c r="G65" s="8"/>
      <c r="H65" s="179"/>
    </row>
    <row r="66" spans="1:8" x14ac:dyDescent="0.15">
      <c r="A66" s="22"/>
      <c r="B66" s="7"/>
      <c r="C66" s="8"/>
      <c r="D66" s="49"/>
      <c r="E66" s="22"/>
      <c r="F66" s="22"/>
      <c r="G66" s="8"/>
      <c r="H66" s="179"/>
    </row>
    <row r="67" spans="1:8" x14ac:dyDescent="0.15">
      <c r="A67" s="22"/>
      <c r="B67" s="7"/>
      <c r="C67" s="8"/>
      <c r="D67" s="49"/>
      <c r="E67" s="22"/>
      <c r="F67" s="22"/>
      <c r="G67" s="8"/>
      <c r="H67" s="22"/>
    </row>
    <row r="68" spans="1:8" x14ac:dyDescent="0.15">
      <c r="A68" s="22"/>
      <c r="B68" s="7"/>
      <c r="C68" s="8"/>
      <c r="D68" s="49"/>
      <c r="E68" s="22"/>
      <c r="F68" s="22"/>
      <c r="G68" s="8"/>
      <c r="H68" s="179"/>
    </row>
    <row r="69" spans="1:8" x14ac:dyDescent="0.15">
      <c r="A69" s="22"/>
      <c r="B69" s="22"/>
      <c r="C69" s="22"/>
      <c r="D69" s="22"/>
      <c r="E69" s="22"/>
      <c r="F69" s="22"/>
      <c r="G69" s="8"/>
      <c r="H69" s="179"/>
    </row>
    <row r="70" spans="1:8" x14ac:dyDescent="0.15">
      <c r="A70" s="22"/>
      <c r="B70" s="22"/>
      <c r="C70" s="22"/>
      <c r="D70" s="22"/>
      <c r="E70" s="22"/>
      <c r="F70" s="22"/>
      <c r="G70" s="8"/>
      <c r="H70" s="22"/>
    </row>
    <row r="71" spans="1:8" x14ac:dyDescent="0.15">
      <c r="A71" s="22"/>
      <c r="B71" s="22"/>
      <c r="C71" s="22"/>
      <c r="D71" s="22"/>
      <c r="E71" s="22"/>
      <c r="F71" s="22"/>
      <c r="G71" s="8"/>
      <c r="H71" s="98"/>
    </row>
    <row r="72" spans="1:8" x14ac:dyDescent="0.15">
      <c r="A72" s="22"/>
      <c r="B72" s="22"/>
      <c r="C72" s="22"/>
      <c r="D72" s="22"/>
      <c r="E72" s="22"/>
      <c r="F72" s="22"/>
      <c r="G72" s="51"/>
      <c r="H72" s="22"/>
    </row>
    <row r="73" spans="1:8" x14ac:dyDescent="0.15">
      <c r="A73" s="22"/>
      <c r="B73" s="22"/>
      <c r="C73" s="22"/>
      <c r="D73" s="22"/>
      <c r="E73" s="22"/>
      <c r="F73" s="22"/>
      <c r="G73" s="22"/>
      <c r="H73" s="22"/>
    </row>
    <row r="74" spans="1:8" x14ac:dyDescent="0.15">
      <c r="A74" s="22"/>
      <c r="B74" s="22"/>
      <c r="C74" s="22"/>
      <c r="D74" s="22"/>
      <c r="E74" s="22"/>
      <c r="F74" s="22"/>
      <c r="G74" s="22"/>
      <c r="H74" s="22"/>
    </row>
    <row r="75" spans="1:8" x14ac:dyDescent="0.15">
      <c r="A75" s="22"/>
      <c r="B75" s="22"/>
      <c r="C75" s="22"/>
      <c r="D75" s="22"/>
      <c r="E75" s="22"/>
      <c r="F75" s="22"/>
      <c r="G75" s="22"/>
      <c r="H75" s="22"/>
    </row>
    <row r="76" spans="1:8" x14ac:dyDescent="0.15">
      <c r="A76" s="22"/>
      <c r="B76" s="22"/>
      <c r="C76" s="22"/>
      <c r="D76" s="22"/>
      <c r="E76" s="22"/>
      <c r="F76" s="22"/>
      <c r="G76" s="22"/>
      <c r="H76" s="22"/>
    </row>
    <row r="77" spans="1:8" x14ac:dyDescent="0.15">
      <c r="A77" s="22"/>
      <c r="B77" s="22"/>
      <c r="C77" s="22"/>
      <c r="D77" s="22"/>
      <c r="E77" s="22"/>
      <c r="F77" s="22"/>
      <c r="G77" s="22"/>
      <c r="H77" s="22"/>
    </row>
    <row r="78" spans="1:8" x14ac:dyDescent="0.15">
      <c r="A78" s="22"/>
      <c r="B78" s="22"/>
      <c r="C78" s="22"/>
      <c r="D78" s="22"/>
      <c r="E78" s="22"/>
      <c r="F78" s="22"/>
      <c r="G78" s="22"/>
      <c r="H78" s="22"/>
    </row>
    <row r="79" spans="1:8" x14ac:dyDescent="0.15">
      <c r="A79" s="22"/>
      <c r="B79" s="22"/>
      <c r="C79" s="22"/>
      <c r="D79" s="22"/>
      <c r="E79" s="22"/>
      <c r="F79" s="22"/>
      <c r="G79" s="22"/>
      <c r="H79" s="22"/>
    </row>
    <row r="80" spans="1:8" x14ac:dyDescent="0.15">
      <c r="A80" s="22"/>
      <c r="B80" s="22"/>
      <c r="C80" s="22"/>
      <c r="D80" s="22"/>
      <c r="E80" s="22"/>
      <c r="F80" s="22"/>
      <c r="G80" s="22"/>
      <c r="H80" s="22"/>
    </row>
    <row r="81" spans="1:8" x14ac:dyDescent="0.15">
      <c r="A81" s="22"/>
      <c r="B81" s="22"/>
      <c r="C81" s="22"/>
      <c r="D81" s="22"/>
      <c r="E81" s="22"/>
      <c r="F81" s="22"/>
      <c r="G81" s="22"/>
      <c r="H81" s="22"/>
    </row>
    <row r="82" spans="1:8" x14ac:dyDescent="0.15">
      <c r="A82" s="22"/>
      <c r="B82" s="22"/>
      <c r="C82" s="22"/>
      <c r="D82" s="22"/>
      <c r="E82" s="22"/>
      <c r="F82" s="22"/>
      <c r="G82" s="22"/>
      <c r="H82" s="22"/>
    </row>
    <row r="83" spans="1:8" x14ac:dyDescent="0.15">
      <c r="A83" s="22"/>
      <c r="B83" s="22"/>
      <c r="C83" s="22"/>
      <c r="D83" s="22"/>
      <c r="E83" s="22"/>
      <c r="F83" s="22"/>
      <c r="G83" s="22"/>
      <c r="H83" s="22"/>
    </row>
    <row r="84" spans="1:8" x14ac:dyDescent="0.15">
      <c r="A84" s="22"/>
      <c r="B84" s="22"/>
      <c r="C84" s="22"/>
      <c r="D84" s="22"/>
      <c r="E84" s="22"/>
      <c r="F84" s="22"/>
      <c r="G84" s="22"/>
      <c r="H84" s="22"/>
    </row>
    <row r="85" spans="1:8" x14ac:dyDescent="0.15">
      <c r="A85" s="22"/>
      <c r="B85" s="22"/>
      <c r="C85" s="22"/>
      <c r="D85" s="22"/>
      <c r="E85" s="22"/>
      <c r="F85" s="22"/>
      <c r="G85" s="22"/>
      <c r="H85" s="22"/>
    </row>
    <row r="86" spans="1:8" x14ac:dyDescent="0.15">
      <c r="A86" s="22"/>
      <c r="B86" s="22"/>
      <c r="C86" s="22"/>
      <c r="D86" s="22"/>
      <c r="E86" s="22"/>
      <c r="F86" s="22"/>
      <c r="G86" s="22"/>
      <c r="H86" s="22"/>
    </row>
    <row r="87" spans="1:8" x14ac:dyDescent="0.15">
      <c r="A87" s="22"/>
      <c r="B87" s="22"/>
      <c r="C87" s="22"/>
      <c r="D87" s="22"/>
      <c r="E87" s="22"/>
      <c r="F87" s="22"/>
      <c r="G87" s="22"/>
      <c r="H87" s="22"/>
    </row>
    <row r="88" spans="1:8" x14ac:dyDescent="0.15">
      <c r="A88" s="22"/>
      <c r="B88" s="22"/>
      <c r="C88" s="22"/>
      <c r="D88" s="22"/>
      <c r="E88" s="22"/>
      <c r="F88" s="22"/>
      <c r="G88" s="22"/>
      <c r="H88" s="22"/>
    </row>
    <row r="89" spans="1:8" x14ac:dyDescent="0.15">
      <c r="A89" s="22"/>
      <c r="B89" s="22"/>
      <c r="C89" s="22"/>
      <c r="D89" s="22"/>
      <c r="E89" s="22"/>
      <c r="F89" s="22"/>
      <c r="G89" s="22"/>
      <c r="H89" s="22"/>
    </row>
    <row r="90" spans="1:8" x14ac:dyDescent="0.15">
      <c r="A90" s="22"/>
      <c r="B90" s="22"/>
      <c r="C90" s="22"/>
      <c r="D90" s="22"/>
      <c r="E90" s="22"/>
      <c r="F90" s="22"/>
      <c r="G90" s="22"/>
      <c r="H90" s="22"/>
    </row>
    <row r="91" spans="1:8" x14ac:dyDescent="0.15">
      <c r="A91" s="22"/>
      <c r="B91" s="22"/>
      <c r="C91" s="22"/>
      <c r="D91" s="22"/>
      <c r="E91" s="22"/>
      <c r="F91" s="22"/>
      <c r="G91" s="22"/>
      <c r="H91" s="22"/>
    </row>
    <row r="92" spans="1:8" x14ac:dyDescent="0.15">
      <c r="A92" s="22"/>
      <c r="B92" s="22"/>
      <c r="C92" s="22"/>
      <c r="D92" s="22"/>
      <c r="E92" s="22"/>
      <c r="F92" s="22"/>
      <c r="G92" s="22"/>
      <c r="H92" s="22"/>
    </row>
    <row r="93" spans="1:8" x14ac:dyDescent="0.15">
      <c r="A93" s="22"/>
      <c r="B93" s="22"/>
      <c r="C93" s="22"/>
      <c r="D93" s="22"/>
      <c r="E93" s="22"/>
      <c r="F93" s="22"/>
      <c r="G93" s="22"/>
      <c r="H93" s="22"/>
    </row>
    <row r="94" spans="1:8" x14ac:dyDescent="0.15">
      <c r="A94" s="22"/>
      <c r="B94" s="22"/>
      <c r="C94" s="22"/>
      <c r="D94" s="22"/>
      <c r="E94" s="22"/>
      <c r="F94" s="22"/>
      <c r="G94" s="22"/>
      <c r="H94" s="22"/>
    </row>
    <row r="95" spans="1:8" x14ac:dyDescent="0.15">
      <c r="A95" s="22"/>
      <c r="B95" s="22"/>
      <c r="C95" s="22"/>
      <c r="D95" s="22"/>
      <c r="E95" s="22"/>
      <c r="F95" s="22"/>
      <c r="G95" s="22"/>
      <c r="H95" s="22"/>
    </row>
    <row r="96" spans="1:8" x14ac:dyDescent="0.15">
      <c r="A96" s="22"/>
      <c r="B96" s="22"/>
      <c r="C96" s="22"/>
      <c r="D96" s="22"/>
      <c r="E96" s="22"/>
      <c r="F96" s="22"/>
      <c r="G96" s="22"/>
      <c r="H96" s="22"/>
    </row>
    <row r="97" spans="1:8" x14ac:dyDescent="0.15">
      <c r="A97" s="22"/>
      <c r="B97" s="22"/>
      <c r="C97" s="22"/>
      <c r="D97" s="22"/>
      <c r="E97" s="22"/>
      <c r="F97" s="22"/>
      <c r="G97" s="22"/>
      <c r="H97" s="22"/>
    </row>
    <row r="98" spans="1:8" x14ac:dyDescent="0.15">
      <c r="A98" s="22"/>
      <c r="B98" s="22"/>
      <c r="C98" s="22"/>
      <c r="D98" s="22"/>
      <c r="E98" s="22"/>
      <c r="F98" s="22"/>
      <c r="G98" s="22"/>
      <c r="H98" s="22"/>
    </row>
    <row r="99" spans="1:8" x14ac:dyDescent="0.15">
      <c r="A99" s="22"/>
      <c r="B99" s="22"/>
      <c r="C99" s="22"/>
      <c r="D99" s="22"/>
      <c r="E99" s="22"/>
      <c r="F99" s="22"/>
      <c r="G99" s="22"/>
      <c r="H99" s="22"/>
    </row>
    <row r="100" spans="1:8" x14ac:dyDescent="0.15">
      <c r="A100" s="22"/>
      <c r="B100" s="22"/>
      <c r="C100" s="22"/>
      <c r="D100" s="22"/>
      <c r="E100" s="22"/>
      <c r="F100" s="22"/>
      <c r="G100" s="22"/>
      <c r="H100" s="22"/>
    </row>
    <row r="101" spans="1:8" x14ac:dyDescent="0.15">
      <c r="A101" s="22"/>
      <c r="B101" s="22"/>
      <c r="C101" s="22"/>
      <c r="D101" s="22"/>
      <c r="E101" s="22"/>
      <c r="F101" s="22"/>
      <c r="G101" s="22"/>
      <c r="H101" s="22"/>
    </row>
  </sheetData>
  <phoneticPr fontId="2"/>
  <pageMargins left="0.70866141732283472" right="0.70866141732283472" top="0.74803149606299213" bottom="0.74803149606299213" header="0.31496062992125984" footer="0.31496062992125984"/>
  <pageSetup paperSize="11" scale="94" orientation="landscape" r:id="rId1"/>
  <ignoredErrors>
    <ignoredError sqref="C11 G1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データ削除12">
                <anchor moveWithCells="1" sizeWithCells="1">
                  <from>
                    <xdr:col>13</xdr:col>
                    <xdr:colOff>533400</xdr:colOff>
                    <xdr:row>2</xdr:row>
                    <xdr:rowOff>76200</xdr:rowOff>
                  </from>
                  <to>
                    <xdr:col>16</xdr:col>
                    <xdr:colOff>561975</xdr:colOff>
                    <xdr:row>4</xdr:row>
                    <xdr:rowOff>47625</xdr:rowOff>
                  </to>
                </anchor>
              </controlPr>
            </control>
          </mc:Choice>
        </mc:AlternateContent>
      </controls>
    </mc:Choice>
  </mc:AlternateContent>
  <tableParts count="2">
    <tablePart r:id="rId5"/>
    <tablePart r:id="rId6"/>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C000"/>
    <pageSetUpPr fitToPage="1"/>
  </sheetPr>
  <dimension ref="A1:J34"/>
  <sheetViews>
    <sheetView showGridLines="0" topLeftCell="A7" zoomScaleNormal="100" zoomScaleSheetLayoutView="80" workbookViewId="0">
      <selection activeCell="C13" sqref="C13"/>
    </sheetView>
  </sheetViews>
  <sheetFormatPr defaultRowHeight="18.75" x14ac:dyDescent="0.15"/>
  <cols>
    <col min="1" max="1" width="21.75" style="1" customWidth="1"/>
    <col min="2" max="3" width="9.375" style="1" customWidth="1"/>
    <col min="4" max="4" width="9" style="1" customWidth="1"/>
    <col min="5" max="5" width="20.625" style="1" hidden="1" customWidth="1"/>
    <col min="6" max="6" width="9" style="1" hidden="1" customWidth="1"/>
    <col min="7" max="7" width="8.75" style="1" hidden="1" customWidth="1"/>
    <col min="8" max="10" width="9" style="1" hidden="1" customWidth="1"/>
    <col min="11" max="16384" width="9" style="1"/>
  </cols>
  <sheetData>
    <row r="1" spans="1:6" ht="19.5" x14ac:dyDescent="0.15">
      <c r="A1" s="2" t="s">
        <v>205</v>
      </c>
    </row>
    <row r="2" spans="1:6" ht="19.5" x14ac:dyDescent="0.15">
      <c r="A2" s="2"/>
      <c r="E2" s="56" t="s">
        <v>63</v>
      </c>
    </row>
    <row r="3" spans="1:6" ht="20.25" thickBot="1" x14ac:dyDescent="0.2">
      <c r="A3" s="4" t="s">
        <v>13</v>
      </c>
      <c r="B3" s="2"/>
      <c r="E3" s="387" t="s">
        <v>281</v>
      </c>
      <c r="F3" s="494" t="s">
        <v>0</v>
      </c>
    </row>
    <row r="4" spans="1:6" ht="20.25" thickTop="1" thickBot="1" x14ac:dyDescent="0.2">
      <c r="A4" s="335"/>
      <c r="B4" s="336" t="s">
        <v>225</v>
      </c>
      <c r="C4" s="336" t="s">
        <v>226</v>
      </c>
      <c r="E4" s="426" t="s">
        <v>370</v>
      </c>
      <c r="F4" s="384" t="s">
        <v>582</v>
      </c>
    </row>
    <row r="5" spans="1:6" ht="19.5" thickTop="1" x14ac:dyDescent="0.15">
      <c r="A5" s="302" t="s">
        <v>99</v>
      </c>
      <c r="B5" s="261">
        <f>IFERROR(VLOOKUP("措置入院",入院形態＿65歳以上[#All],2,FALSE),0)+IFERROR(VLOOKUP("緊急措置入院",入院形態＿65歳以上[#All],2,FALSE),0)</f>
        <v>13</v>
      </c>
      <c r="C5" s="471">
        <f>IFERROR(B5/B$10,"-")</f>
        <v>1.4138118542686242E-3</v>
      </c>
      <c r="E5" s="40" t="s">
        <v>16</v>
      </c>
      <c r="F5" s="48">
        <v>3977</v>
      </c>
    </row>
    <row r="6" spans="1:6" x14ac:dyDescent="0.15">
      <c r="A6" s="302" t="s">
        <v>100</v>
      </c>
      <c r="B6" s="261">
        <f>IFERROR(VLOOKUP(A6,入院形態＿65歳以上[#All],2,FALSE),0)</f>
        <v>5202</v>
      </c>
      <c r="C6" s="471">
        <f t="shared" ref="C6:C9" si="0">IFERROR(B6/B$10,"-")</f>
        <v>0.56574225122349098</v>
      </c>
      <c r="E6" s="40" t="s">
        <v>371</v>
      </c>
      <c r="F6" s="41">
        <v>13</v>
      </c>
    </row>
    <row r="7" spans="1:6" x14ac:dyDescent="0.15">
      <c r="A7" s="302" t="s">
        <v>101</v>
      </c>
      <c r="B7" s="261">
        <f>IFERROR(VLOOKUP(A7,入院形態＿65歳以上[#All],2,FALSE),0)</f>
        <v>3977</v>
      </c>
      <c r="C7" s="471">
        <f t="shared" si="0"/>
        <v>0.43251767264817836</v>
      </c>
      <c r="E7" s="40" t="s">
        <v>17</v>
      </c>
      <c r="F7" s="41">
        <v>1</v>
      </c>
    </row>
    <row r="8" spans="1:6" x14ac:dyDescent="0.15">
      <c r="A8" s="302" t="s">
        <v>102</v>
      </c>
      <c r="B8" s="261">
        <f>IFERROR(VLOOKUP(A8,入院形態＿65歳以上[#All],2,FALSE),0)</f>
        <v>1</v>
      </c>
      <c r="C8" s="471">
        <f t="shared" si="0"/>
        <v>1.0875475802066341E-4</v>
      </c>
      <c r="E8" s="40" t="s">
        <v>15</v>
      </c>
      <c r="F8" s="41">
        <v>5202</v>
      </c>
    </row>
    <row r="9" spans="1:6" x14ac:dyDescent="0.15">
      <c r="A9" s="302" t="s">
        <v>103</v>
      </c>
      <c r="B9" s="261">
        <f>IFERROR(VLOOKUP("鑑定入院",入院形態＿65歳以上[#All],2,FALSE),0)+IFERROR(VLOOKUP("医療観察法による入院",入院形態＿65歳以上[#All],2,FALSE),0)</f>
        <v>2</v>
      </c>
      <c r="C9" s="471">
        <f t="shared" si="0"/>
        <v>2.1750951604132681E-4</v>
      </c>
      <c r="E9" s="40" t="s">
        <v>373</v>
      </c>
      <c r="F9" s="41">
        <v>2</v>
      </c>
    </row>
    <row r="10" spans="1:6" x14ac:dyDescent="0.15">
      <c r="A10" s="335" t="s">
        <v>160</v>
      </c>
      <c r="B10" s="337">
        <f>SUM(B5:B9)</f>
        <v>9195</v>
      </c>
      <c r="C10" s="338">
        <f>SUM(C5:C9)</f>
        <v>1</v>
      </c>
      <c r="E10" s="43"/>
      <c r="F10" s="41"/>
    </row>
    <row r="11" spans="1:6" x14ac:dyDescent="0.15">
      <c r="E11" s="43"/>
      <c r="F11" s="41"/>
    </row>
    <row r="12" spans="1:6" x14ac:dyDescent="0.15">
      <c r="E12" s="43"/>
      <c r="F12" s="386"/>
    </row>
    <row r="13" spans="1:6" x14ac:dyDescent="0.15">
      <c r="E13" s="56" t="s">
        <v>63</v>
      </c>
      <c r="F13" s="386"/>
    </row>
    <row r="14" spans="1:6" ht="19.5" thickBot="1" x14ac:dyDescent="0.2">
      <c r="A14" s="4" t="s">
        <v>227</v>
      </c>
      <c r="E14" s="496" t="s">
        <v>281</v>
      </c>
      <c r="F14" s="501" t="s">
        <v>305</v>
      </c>
    </row>
    <row r="15" spans="1:6" ht="20.25" thickTop="1" thickBot="1" x14ac:dyDescent="0.2">
      <c r="A15" s="335"/>
      <c r="B15" s="336" t="s">
        <v>225</v>
      </c>
      <c r="C15" s="336" t="s">
        <v>226</v>
      </c>
      <c r="E15" s="426" t="s">
        <v>370</v>
      </c>
      <c r="F15" s="384" t="s">
        <v>582</v>
      </c>
    </row>
    <row r="16" spans="1:6" ht="19.5" thickTop="1" x14ac:dyDescent="0.15">
      <c r="A16" s="302" t="s">
        <v>99</v>
      </c>
      <c r="B16" s="261">
        <f>IFERROR(VLOOKUP("措置入院",入院形態＿65歳以上＿寛解・院内寛解[#All],2,FALSE),0)+IFERROR(VLOOKUP("緊急措置入院",入院形態＿65歳以上＿寛解・院内寛解[#All],2,FALSE),0)</f>
        <v>3</v>
      </c>
      <c r="C16" s="471">
        <f>IFERROR(B16/B$21,"-")</f>
        <v>3.5545023696682463E-3</v>
      </c>
      <c r="E16" s="40" t="s">
        <v>16</v>
      </c>
      <c r="F16" s="48">
        <v>501</v>
      </c>
    </row>
    <row r="17" spans="1:7" x14ac:dyDescent="0.15">
      <c r="A17" s="302" t="s">
        <v>100</v>
      </c>
      <c r="B17" s="261">
        <f>IFERROR(VLOOKUP(A17,入院形態＿65歳以上＿寛解・院内寛解[#All],2,FALSE),0)</f>
        <v>339</v>
      </c>
      <c r="C17" s="471">
        <f t="shared" ref="C17:C20" si="1">IFERROR(B17/B$21,"-")</f>
        <v>0.40165876777251186</v>
      </c>
      <c r="E17" s="40" t="s">
        <v>371</v>
      </c>
      <c r="F17" s="48">
        <v>3</v>
      </c>
    </row>
    <row r="18" spans="1:7" ht="19.5" x14ac:dyDescent="0.15">
      <c r="A18" s="302" t="s">
        <v>101</v>
      </c>
      <c r="B18" s="261">
        <f>IFERROR(VLOOKUP(A18,入院形態＿65歳以上＿寛解・院内寛解[#All],2,FALSE),0)</f>
        <v>501</v>
      </c>
      <c r="C18" s="471">
        <f t="shared" si="1"/>
        <v>0.59360189573459721</v>
      </c>
      <c r="E18" s="40" t="s">
        <v>17</v>
      </c>
      <c r="F18" s="48">
        <v>1</v>
      </c>
      <c r="G18" s="3"/>
    </row>
    <row r="19" spans="1:7" x14ac:dyDescent="0.15">
      <c r="A19" s="302" t="s">
        <v>102</v>
      </c>
      <c r="B19" s="261">
        <f>IFERROR(VLOOKUP(A19,入院形態＿65歳以上＿寛解・院内寛解[#All],2,FALSE),0)</f>
        <v>1</v>
      </c>
      <c r="C19" s="471">
        <f t="shared" si="1"/>
        <v>1.1848341232227489E-3</v>
      </c>
      <c r="E19" s="40" t="s">
        <v>15</v>
      </c>
      <c r="F19" s="48">
        <v>339</v>
      </c>
    </row>
    <row r="20" spans="1:7" x14ac:dyDescent="0.15">
      <c r="A20" s="302" t="s">
        <v>103</v>
      </c>
      <c r="B20" s="261">
        <f>IFERROR(VLOOKUP("鑑定入院",入院形態＿65歳以上＿寛解・院内寛解[#All],2,FALSE),0)+IFERROR(VLOOKUP("医療観察法による入院",入院形態＿65歳以上＿寛解・院内寛解[#All],2,FALSE),0)</f>
        <v>0</v>
      </c>
      <c r="C20" s="471">
        <f t="shared" si="1"/>
        <v>0</v>
      </c>
      <c r="E20" s="40"/>
      <c r="F20" s="48"/>
      <c r="G20" s="22"/>
    </row>
    <row r="21" spans="1:7" x14ac:dyDescent="0.15">
      <c r="A21" s="335" t="s">
        <v>160</v>
      </c>
      <c r="B21" s="337">
        <f>SUM(B16:B20)</f>
        <v>844</v>
      </c>
      <c r="C21" s="338">
        <f>SUM(C16:C20)</f>
        <v>1</v>
      </c>
      <c r="E21" s="43"/>
      <c r="F21" s="48"/>
      <c r="G21" s="22"/>
    </row>
    <row r="22" spans="1:7" x14ac:dyDescent="0.15">
      <c r="E22" s="43"/>
      <c r="F22" s="48"/>
      <c r="G22" s="22"/>
    </row>
    <row r="23" spans="1:7" x14ac:dyDescent="0.15">
      <c r="G23" s="22"/>
    </row>
    <row r="26" spans="1:7" x14ac:dyDescent="0.15">
      <c r="C26" s="4"/>
    </row>
    <row r="27" spans="1:7" x14ac:dyDescent="0.15">
      <c r="C27" s="4"/>
    </row>
    <row r="30" spans="1:7" x14ac:dyDescent="0.15">
      <c r="A30" s="142"/>
      <c r="B30" s="33"/>
      <c r="C30" s="33"/>
    </row>
    <row r="31" spans="1:7" x14ac:dyDescent="0.15">
      <c r="A31" s="38"/>
      <c r="B31" s="39"/>
      <c r="C31" s="174"/>
    </row>
    <row r="32" spans="1:7" x14ac:dyDescent="0.15">
      <c r="A32" s="38"/>
      <c r="B32" s="39"/>
      <c r="C32" s="174"/>
    </row>
    <row r="33" spans="1:3" x14ac:dyDescent="0.15">
      <c r="A33" s="38"/>
      <c r="B33" s="39"/>
      <c r="C33" s="36"/>
    </row>
    <row r="34" spans="1:3" x14ac:dyDescent="0.15">
      <c r="A34" s="38"/>
      <c r="B34" s="39"/>
      <c r="C34" s="36"/>
    </row>
  </sheetData>
  <phoneticPr fontId="2"/>
  <printOptions horizontalCentered="1"/>
  <pageMargins left="0.70866141732283472" right="0.70866141732283472" top="1.1417322834645669" bottom="0.74803149606299213" header="0.70866141732283472" footer="0.31496062992125984"/>
  <pageSetup paperSize="11" scale="7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Button 1">
              <controlPr defaultSize="0" print="0" autoFill="0" autoPict="0" macro="[0]!データ削除13">
                <anchor moveWithCells="1" sizeWithCells="1">
                  <from>
                    <xdr:col>6</xdr:col>
                    <xdr:colOff>628650</xdr:colOff>
                    <xdr:row>3</xdr:row>
                    <xdr:rowOff>47625</xdr:rowOff>
                  </from>
                  <to>
                    <xdr:col>9</xdr:col>
                    <xdr:colOff>409575</xdr:colOff>
                    <xdr:row>5</xdr:row>
                    <xdr:rowOff>47625</xdr:rowOff>
                  </to>
                </anchor>
              </controlPr>
            </control>
          </mc:Choice>
        </mc:AlternateContent>
      </controls>
    </mc:Choice>
  </mc:AlternateContent>
  <tableParts count="2">
    <tablePart r:id="rId5"/>
    <tablePart r:id="rId6"/>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C000"/>
    <pageSetUpPr fitToPage="1"/>
  </sheetPr>
  <dimension ref="A1:T63"/>
  <sheetViews>
    <sheetView showGridLines="0" topLeftCell="A7" zoomScaleNormal="100" zoomScaleSheetLayoutView="90" workbookViewId="0">
      <selection activeCell="B19" sqref="B19:C19"/>
    </sheetView>
  </sheetViews>
  <sheetFormatPr defaultRowHeight="18.75" x14ac:dyDescent="0.15"/>
  <cols>
    <col min="1" max="1" width="3.375" style="1" customWidth="1"/>
    <col min="2" max="2" width="2.125" style="1" customWidth="1"/>
    <col min="3" max="3" width="43.75" style="1" customWidth="1"/>
    <col min="4" max="5" width="9.375" style="1" customWidth="1"/>
    <col min="6" max="6" width="0.875" style="1" customWidth="1"/>
    <col min="7" max="8" width="9.375" style="1" customWidth="1"/>
    <col min="9" max="9" width="6.875" style="38" hidden="1" customWidth="1"/>
    <col min="10" max="10" width="41.875" style="1" hidden="1" customWidth="1"/>
    <col min="11" max="11" width="10.625" style="1" hidden="1" customWidth="1"/>
    <col min="12" max="14" width="9" style="1" hidden="1" customWidth="1"/>
    <col min="15" max="20" width="9" style="1" customWidth="1"/>
    <col min="21" max="16384" width="9" style="1"/>
  </cols>
  <sheetData>
    <row r="1" spans="1:20" ht="19.5" x14ac:dyDescent="0.15">
      <c r="B1" s="2" t="s">
        <v>228</v>
      </c>
    </row>
    <row r="3" spans="1:20" x14ac:dyDescent="0.15">
      <c r="B3" s="4" t="s">
        <v>13</v>
      </c>
      <c r="C3" s="151"/>
      <c r="J3" s="56" t="s">
        <v>63</v>
      </c>
    </row>
    <row r="4" spans="1:20" ht="18.75" customHeight="1" thickBot="1" x14ac:dyDescent="0.4">
      <c r="G4" s="645" t="s">
        <v>105</v>
      </c>
      <c r="H4" s="645"/>
      <c r="J4" s="498" t="s">
        <v>283</v>
      </c>
      <c r="K4" s="494" t="s">
        <v>0</v>
      </c>
    </row>
    <row r="5" spans="1:20" ht="18.75" customHeight="1" thickTop="1" thickBot="1" x14ac:dyDescent="0.2">
      <c r="B5" s="651"/>
      <c r="C5" s="651"/>
      <c r="D5" s="336" t="s">
        <v>0</v>
      </c>
      <c r="E5" s="336" t="s">
        <v>1</v>
      </c>
      <c r="F5" s="152"/>
      <c r="G5" s="336" t="s">
        <v>0</v>
      </c>
      <c r="H5" s="336" t="s">
        <v>1</v>
      </c>
      <c r="J5" s="423" t="s">
        <v>370</v>
      </c>
      <c r="K5" s="422" t="s">
        <v>583</v>
      </c>
      <c r="O5" s="55" t="s">
        <v>295</v>
      </c>
      <c r="T5" s="411" t="s">
        <v>325</v>
      </c>
    </row>
    <row r="6" spans="1:20" ht="18.75" customHeight="1" thickTop="1" x14ac:dyDescent="0.15">
      <c r="B6" s="652" t="s">
        <v>405</v>
      </c>
      <c r="C6" s="653"/>
      <c r="D6" s="153">
        <f>SUM(D7:D9)</f>
        <v>4013</v>
      </c>
      <c r="E6" s="154">
        <f>SUM(E7:E9)</f>
        <v>0.43643284393692228</v>
      </c>
      <c r="F6" s="155"/>
      <c r="G6" s="156">
        <f>'２-Ⅲ'!C5</f>
        <v>4347</v>
      </c>
      <c r="H6" s="157">
        <f>SUM(H7:H9)</f>
        <v>0.28499311610830658</v>
      </c>
      <c r="J6" s="43" t="s">
        <v>295</v>
      </c>
      <c r="K6" s="161">
        <v>2066</v>
      </c>
      <c r="O6" s="55" t="s">
        <v>284</v>
      </c>
      <c r="T6" s="411" t="s">
        <v>314</v>
      </c>
    </row>
    <row r="7" spans="1:20" ht="18.75" customHeight="1" x14ac:dyDescent="0.15">
      <c r="A7" s="158"/>
      <c r="B7" s="159"/>
      <c r="C7" s="160" t="s">
        <v>269</v>
      </c>
      <c r="D7" s="370">
        <f>IFERROR(VLOOKUP($O5,疾患別＿65歳以上[#All],2,FALSE),0)</f>
        <v>2066</v>
      </c>
      <c r="E7" s="473">
        <f>IFERROR(D7/D$21,"-")</f>
        <v>0.22468733007069058</v>
      </c>
      <c r="F7" s="24"/>
      <c r="G7" s="373">
        <f>'２-Ⅲ'!C6</f>
        <v>2116</v>
      </c>
      <c r="H7" s="473">
        <f>IFERROR(G7/G$21,"-")</f>
        <v>0.13872680784108044</v>
      </c>
      <c r="J7" s="43" t="s">
        <v>284</v>
      </c>
      <c r="K7" s="161">
        <v>323</v>
      </c>
      <c r="N7" s="9"/>
      <c r="O7" s="55" t="s">
        <v>285</v>
      </c>
      <c r="T7" s="411" t="s">
        <v>315</v>
      </c>
    </row>
    <row r="8" spans="1:20" ht="18.75" customHeight="1" x14ac:dyDescent="0.15">
      <c r="A8" s="158"/>
      <c r="B8" s="159"/>
      <c r="C8" s="162" t="s">
        <v>106</v>
      </c>
      <c r="D8" s="371">
        <f>IFERROR(VLOOKUP($O6,疾患別＿65歳以上[#All],2,FALSE),0)</f>
        <v>323</v>
      </c>
      <c r="E8" s="474">
        <f t="shared" ref="E8:E20" si="0">IFERROR(D8/D$21,"-")</f>
        <v>3.5127786840674281E-2</v>
      </c>
      <c r="F8" s="24"/>
      <c r="G8" s="374">
        <f>'２-Ⅲ'!C7</f>
        <v>336</v>
      </c>
      <c r="H8" s="267">
        <f t="shared" ref="H8:H20" si="1">IFERROR(G8/G$21,"-")</f>
        <v>2.202845341899954E-2</v>
      </c>
      <c r="J8" s="43" t="s">
        <v>285</v>
      </c>
      <c r="K8" s="161">
        <v>1624</v>
      </c>
      <c r="N8" s="9"/>
      <c r="O8" s="55" t="s">
        <v>286</v>
      </c>
      <c r="T8" s="411" t="s">
        <v>316</v>
      </c>
    </row>
    <row r="9" spans="1:20" ht="37.5" customHeight="1" x14ac:dyDescent="0.15">
      <c r="A9" s="158"/>
      <c r="B9" s="163"/>
      <c r="C9" s="164" t="s">
        <v>68</v>
      </c>
      <c r="D9" s="372">
        <f>IFERROR(VLOOKUP($O7,疾患別＿65歳以上[#All],2,FALSE),0)</f>
        <v>1624</v>
      </c>
      <c r="E9" s="269">
        <f t="shared" si="0"/>
        <v>0.17661772702555736</v>
      </c>
      <c r="F9" s="24"/>
      <c r="G9" s="375">
        <f>'２-Ⅲ'!C8</f>
        <v>1895</v>
      </c>
      <c r="H9" s="476">
        <f t="shared" si="1"/>
        <v>0.12423785484822658</v>
      </c>
      <c r="J9" s="43" t="s">
        <v>286</v>
      </c>
      <c r="K9" s="161">
        <v>346</v>
      </c>
      <c r="N9" s="9"/>
      <c r="O9" s="55" t="s">
        <v>312</v>
      </c>
      <c r="T9" s="411" t="s">
        <v>317</v>
      </c>
    </row>
    <row r="10" spans="1:20" ht="18.75" customHeight="1" x14ac:dyDescent="0.15">
      <c r="A10" s="158"/>
      <c r="B10" s="646" t="s">
        <v>251</v>
      </c>
      <c r="C10" s="647"/>
      <c r="D10" s="165">
        <f>IFERROR(VLOOKUP($O8,疾患別＿65歳以上[#All],2,FALSE),0)+IFERROR(VLOOKUP($O9,疾患別＿65歳以上[#All],2,FALSE),0)+IFERROR(VLOOKUP($O10,疾患別＿65歳以上[#All],2,FALSE),0)</f>
        <v>373</v>
      </c>
      <c r="E10" s="475">
        <f t="shared" si="0"/>
        <v>4.0565524741707451E-2</v>
      </c>
      <c r="F10" s="166"/>
      <c r="G10" s="165">
        <f>'２-Ⅲ'!C9</f>
        <v>830</v>
      </c>
      <c r="H10" s="475">
        <f t="shared" si="1"/>
        <v>5.4415524814790533E-2</v>
      </c>
      <c r="J10" s="87" t="s">
        <v>200</v>
      </c>
      <c r="K10" s="161">
        <v>17</v>
      </c>
      <c r="N10" s="9"/>
      <c r="O10" s="55" t="s">
        <v>313</v>
      </c>
      <c r="T10" s="411" t="s">
        <v>318</v>
      </c>
    </row>
    <row r="11" spans="1:20" ht="18.75" customHeight="1" x14ac:dyDescent="0.15">
      <c r="A11" s="158"/>
      <c r="B11" s="646" t="s">
        <v>252</v>
      </c>
      <c r="C11" s="647"/>
      <c r="D11" s="165">
        <f>IFERROR(VLOOKUP($O11,疾患別＿65歳以上[#All],2,FALSE),0)</f>
        <v>3573</v>
      </c>
      <c r="E11" s="475">
        <f t="shared" si="0"/>
        <v>0.38858075040783036</v>
      </c>
      <c r="F11" s="166"/>
      <c r="G11" s="165">
        <f>'２-Ⅲ'!C10</f>
        <v>7586</v>
      </c>
      <c r="H11" s="475">
        <f t="shared" si="1"/>
        <v>0.49734478463253129</v>
      </c>
      <c r="J11" s="43" t="s">
        <v>201</v>
      </c>
      <c r="K11" s="161">
        <v>10</v>
      </c>
      <c r="O11" s="55" t="s">
        <v>287</v>
      </c>
      <c r="T11" s="411" t="s">
        <v>319</v>
      </c>
    </row>
    <row r="12" spans="1:20" ht="18.75" customHeight="1" x14ac:dyDescent="0.15">
      <c r="A12" s="158"/>
      <c r="B12" s="646" t="s">
        <v>22</v>
      </c>
      <c r="C12" s="647"/>
      <c r="D12" s="165">
        <f>IFERROR(VLOOKUP($O12,疾患別＿65歳以上[#All],2,FALSE),0)+IFERROR(VLOOKUP($O13,疾患別＿65歳以上[#All],2,FALSE),0)</f>
        <v>961</v>
      </c>
      <c r="E12" s="475">
        <f t="shared" si="0"/>
        <v>0.10451332245785754</v>
      </c>
      <c r="F12" s="166"/>
      <c r="G12" s="165">
        <f>'２-Ⅲ'!C11</f>
        <v>1529</v>
      </c>
      <c r="H12" s="475">
        <f t="shared" si="1"/>
        <v>0.10024257523110208</v>
      </c>
      <c r="J12" s="43" t="s">
        <v>287</v>
      </c>
      <c r="K12" s="161">
        <v>3573</v>
      </c>
      <c r="O12" s="55" t="s">
        <v>288</v>
      </c>
      <c r="T12" s="411" t="s">
        <v>320</v>
      </c>
    </row>
    <row r="13" spans="1:20" ht="18.75" customHeight="1" x14ac:dyDescent="0.15">
      <c r="A13" s="158"/>
      <c r="B13" s="646" t="s">
        <v>24</v>
      </c>
      <c r="C13" s="647"/>
      <c r="D13" s="165">
        <f>IFERROR(VLOOKUP($O14,疾患別＿65歳以上[#All],2,FALSE),0)</f>
        <v>96</v>
      </c>
      <c r="E13" s="475">
        <f t="shared" si="0"/>
        <v>1.0440456769983687E-2</v>
      </c>
      <c r="F13" s="166"/>
      <c r="G13" s="165">
        <f>'２-Ⅲ'!C12</f>
        <v>248</v>
      </c>
      <c r="H13" s="475">
        <f t="shared" si="1"/>
        <v>1.6259096571166327E-2</v>
      </c>
      <c r="J13" s="43" t="s">
        <v>288</v>
      </c>
      <c r="K13" s="161">
        <v>494</v>
      </c>
      <c r="N13" s="9"/>
      <c r="O13" s="55" t="s">
        <v>289</v>
      </c>
      <c r="T13" s="411" t="s">
        <v>321</v>
      </c>
    </row>
    <row r="14" spans="1:20" ht="18.75" customHeight="1" x14ac:dyDescent="0.15">
      <c r="A14" s="158"/>
      <c r="B14" s="646" t="s">
        <v>25</v>
      </c>
      <c r="C14" s="647"/>
      <c r="D14" s="165">
        <f>IFERROR(VLOOKUP($O15,疾患別＿65歳以上[#All],2,FALSE),0)</f>
        <v>5</v>
      </c>
      <c r="E14" s="475">
        <f t="shared" si="0"/>
        <v>5.4377379010331697E-4</v>
      </c>
      <c r="F14" s="166"/>
      <c r="G14" s="165">
        <f>'２-Ⅲ'!C13</f>
        <v>49</v>
      </c>
      <c r="H14" s="475">
        <f t="shared" si="1"/>
        <v>3.2124827902707664E-3</v>
      </c>
      <c r="J14" s="43" t="s">
        <v>289</v>
      </c>
      <c r="K14" s="161">
        <v>467</v>
      </c>
      <c r="N14" s="9"/>
      <c r="O14" s="55" t="s">
        <v>290</v>
      </c>
      <c r="T14" s="411" t="s">
        <v>322</v>
      </c>
    </row>
    <row r="15" spans="1:20" ht="18.75" customHeight="1" x14ac:dyDescent="0.15">
      <c r="A15" s="158"/>
      <c r="B15" s="646" t="s">
        <v>261</v>
      </c>
      <c r="C15" s="647"/>
      <c r="D15" s="165">
        <f>IFERROR(VLOOKUP($O16,疾患別＿65歳以上[#All],2,FALSE),0)</f>
        <v>9</v>
      </c>
      <c r="E15" s="475">
        <f t="shared" si="0"/>
        <v>9.7879282218597059E-4</v>
      </c>
      <c r="F15" s="166"/>
      <c r="G15" s="165">
        <f>'２-Ⅲ'!C14</f>
        <v>50</v>
      </c>
      <c r="H15" s="475">
        <f t="shared" si="1"/>
        <v>3.2780436635415984E-3</v>
      </c>
      <c r="J15" s="43" t="s">
        <v>290</v>
      </c>
      <c r="K15" s="161">
        <v>96</v>
      </c>
      <c r="N15" s="9"/>
      <c r="O15" s="55" t="s">
        <v>291</v>
      </c>
      <c r="T15" s="411" t="s">
        <v>323</v>
      </c>
    </row>
    <row r="16" spans="1:20" ht="18.75" customHeight="1" x14ac:dyDescent="0.15">
      <c r="A16" s="158"/>
      <c r="B16" s="646" t="s">
        <v>249</v>
      </c>
      <c r="C16" s="647"/>
      <c r="D16" s="165">
        <f>IFERROR(VLOOKUP($O17,疾患別＿65歳以上[#All],2,FALSE),0)</f>
        <v>61</v>
      </c>
      <c r="E16" s="475">
        <f t="shared" si="0"/>
        <v>6.6340402392604672E-3</v>
      </c>
      <c r="F16" s="166"/>
      <c r="G16" s="165">
        <f>'２-Ⅲ'!C15</f>
        <v>281</v>
      </c>
      <c r="H16" s="475">
        <f t="shared" si="1"/>
        <v>1.8422605389103782E-2</v>
      </c>
      <c r="J16" s="43" t="s">
        <v>291</v>
      </c>
      <c r="K16" s="161">
        <v>5</v>
      </c>
      <c r="N16" s="9"/>
      <c r="O16" s="55" t="s">
        <v>296</v>
      </c>
      <c r="T16" s="411" t="s">
        <v>324</v>
      </c>
    </row>
    <row r="17" spans="1:15" ht="18.75" customHeight="1" x14ac:dyDescent="0.15">
      <c r="A17" s="158"/>
      <c r="B17" s="646" t="s">
        <v>83</v>
      </c>
      <c r="C17" s="647"/>
      <c r="D17" s="165">
        <f>IFERROR(VLOOKUP($O18,疾患別＿65歳以上[#All],2,FALSE),0)</f>
        <v>6</v>
      </c>
      <c r="E17" s="475">
        <f t="shared" si="0"/>
        <v>6.5252854812398043E-4</v>
      </c>
      <c r="F17" s="166"/>
      <c r="G17" s="165">
        <f>'２-Ⅲ'!C16</f>
        <v>124</v>
      </c>
      <c r="H17" s="475">
        <f t="shared" si="1"/>
        <v>8.1295482855831634E-3</v>
      </c>
      <c r="J17" s="43" t="s">
        <v>296</v>
      </c>
      <c r="K17" s="161">
        <v>9</v>
      </c>
      <c r="N17" s="9"/>
      <c r="O17" s="55" t="s">
        <v>292</v>
      </c>
    </row>
    <row r="18" spans="1:15" ht="37.5" customHeight="1" x14ac:dyDescent="0.15">
      <c r="A18" s="158"/>
      <c r="B18" s="646" t="s">
        <v>258</v>
      </c>
      <c r="C18" s="647"/>
      <c r="D18" s="165">
        <f>IFERROR(VLOOKUP($O19,疾患別＿65歳以上[#All],2,FALSE),0)</f>
        <v>6</v>
      </c>
      <c r="E18" s="475">
        <f t="shared" si="0"/>
        <v>6.5252854812398043E-4</v>
      </c>
      <c r="F18" s="166"/>
      <c r="G18" s="165">
        <f>'２-Ⅲ'!C17</f>
        <v>40</v>
      </c>
      <c r="H18" s="475">
        <f t="shared" si="1"/>
        <v>2.6224349308332788E-3</v>
      </c>
      <c r="J18" s="43" t="s">
        <v>292</v>
      </c>
      <c r="K18" s="161">
        <v>61</v>
      </c>
      <c r="N18" s="9"/>
      <c r="O18" s="55" t="s">
        <v>293</v>
      </c>
    </row>
    <row r="19" spans="1:15" ht="18.75" customHeight="1" x14ac:dyDescent="0.15">
      <c r="A19" s="158"/>
      <c r="B19" s="646" t="s">
        <v>67</v>
      </c>
      <c r="C19" s="647"/>
      <c r="D19" s="165">
        <f>IFERROR(VLOOKUP($O20,疾患別＿65歳以上[#All],2,FALSE),0)</f>
        <v>23</v>
      </c>
      <c r="E19" s="475">
        <f t="shared" si="0"/>
        <v>2.5013594344752582E-3</v>
      </c>
      <c r="F19" s="166"/>
      <c r="G19" s="165">
        <f>'２-Ⅲ'!C18</f>
        <v>58</v>
      </c>
      <c r="H19" s="475">
        <f t="shared" si="1"/>
        <v>3.8025306497082539E-3</v>
      </c>
      <c r="J19" s="43" t="s">
        <v>293</v>
      </c>
      <c r="K19" s="161">
        <v>6</v>
      </c>
      <c r="N19" s="9"/>
      <c r="O19" s="55" t="s">
        <v>297</v>
      </c>
    </row>
    <row r="20" spans="1:15" ht="18.75" customHeight="1" x14ac:dyDescent="0.15">
      <c r="A20" s="158"/>
      <c r="B20" s="648" t="s">
        <v>18</v>
      </c>
      <c r="C20" s="649"/>
      <c r="D20" s="165">
        <f>IFERROR(VLOOKUP($O21,疾患別＿65歳以上[#All],2,FALSE),0)</f>
        <v>69</v>
      </c>
      <c r="E20" s="475">
        <f t="shared" si="0"/>
        <v>7.5040783034257749E-3</v>
      </c>
      <c r="F20" s="166"/>
      <c r="G20" s="165">
        <f>'２-Ⅲ'!C19</f>
        <v>111</v>
      </c>
      <c r="H20" s="475">
        <f t="shared" si="1"/>
        <v>7.277256933062348E-3</v>
      </c>
      <c r="J20" s="87" t="s">
        <v>297</v>
      </c>
      <c r="K20" s="161">
        <v>6</v>
      </c>
      <c r="N20" s="9"/>
      <c r="O20" s="55" t="s">
        <v>294</v>
      </c>
    </row>
    <row r="21" spans="1:15" ht="18.75" customHeight="1" x14ac:dyDescent="0.15">
      <c r="B21" s="650" t="s">
        <v>160</v>
      </c>
      <c r="C21" s="650"/>
      <c r="D21" s="339">
        <f>SUM(D7:D20)</f>
        <v>9195</v>
      </c>
      <c r="E21" s="619">
        <f>SUM(E7:E20)</f>
        <v>1.0000000000000002</v>
      </c>
      <c r="F21" s="167"/>
      <c r="G21" s="339">
        <f>SUM(G7:G20)</f>
        <v>15253</v>
      </c>
      <c r="H21" s="619">
        <f>SUM(H7:H20)</f>
        <v>0.99999999999999989</v>
      </c>
      <c r="J21" s="43" t="s">
        <v>18</v>
      </c>
      <c r="K21" s="161">
        <v>69</v>
      </c>
      <c r="N21" s="9"/>
      <c r="O21" s="55" t="s">
        <v>18</v>
      </c>
    </row>
    <row r="22" spans="1:15" x14ac:dyDescent="0.15">
      <c r="G22" s="67"/>
      <c r="J22" s="43" t="s">
        <v>294</v>
      </c>
      <c r="K22" s="161">
        <v>23</v>
      </c>
    </row>
    <row r="23" spans="1:15" x14ac:dyDescent="0.15">
      <c r="B23" s="4" t="s">
        <v>113</v>
      </c>
      <c r="C23" s="151"/>
      <c r="G23" s="67"/>
      <c r="J23" s="43"/>
      <c r="K23" s="161"/>
    </row>
    <row r="24" spans="1:15" x14ac:dyDescent="0.35">
      <c r="G24" s="645" t="s">
        <v>105</v>
      </c>
      <c r="H24" s="645"/>
      <c r="J24" s="43"/>
      <c r="K24" s="161"/>
    </row>
    <row r="25" spans="1:15" ht="18.75" customHeight="1" thickBot="1" x14ac:dyDescent="0.2">
      <c r="B25" s="651"/>
      <c r="C25" s="651"/>
      <c r="D25" s="336" t="s">
        <v>0</v>
      </c>
      <c r="E25" s="336" t="s">
        <v>1</v>
      </c>
      <c r="F25" s="152"/>
      <c r="G25" s="336" t="s">
        <v>0</v>
      </c>
      <c r="H25" s="336" t="s">
        <v>1</v>
      </c>
      <c r="J25" s="498" t="s">
        <v>283</v>
      </c>
      <c r="K25" s="501" t="s">
        <v>305</v>
      </c>
    </row>
    <row r="26" spans="1:15" ht="18.75" customHeight="1" thickTop="1" thickBot="1" x14ac:dyDescent="0.2">
      <c r="B26" s="652" t="s">
        <v>405</v>
      </c>
      <c r="C26" s="653"/>
      <c r="D26" s="168">
        <f>SUM(D27:D29)</f>
        <v>270</v>
      </c>
      <c r="E26" s="169">
        <f>SUM(E27:E29)</f>
        <v>0.31990521327014221</v>
      </c>
      <c r="F26" s="138"/>
      <c r="G26" s="170">
        <f>'２-Ⅲ'!J5</f>
        <v>298</v>
      </c>
      <c r="H26" s="157">
        <f>SUM(H27:H29)</f>
        <v>0.16874292185730466</v>
      </c>
      <c r="J26" s="423" t="s">
        <v>370</v>
      </c>
      <c r="K26" s="422" t="s">
        <v>583</v>
      </c>
    </row>
    <row r="27" spans="1:15" ht="18.75" customHeight="1" thickTop="1" x14ac:dyDescent="0.15">
      <c r="A27" s="158"/>
      <c r="B27" s="159"/>
      <c r="C27" s="160" t="s">
        <v>269</v>
      </c>
      <c r="D27" s="376">
        <f>IFERROR(VLOOKUP($O5,疾患別＿65歳以上＿寛解・院内寛解[#All],2,FALSE),0)</f>
        <v>119</v>
      </c>
      <c r="E27" s="265">
        <f>IFERROR(D27/D$41,"-")</f>
        <v>0.14099526066350712</v>
      </c>
      <c r="F27" s="24"/>
      <c r="G27" s="373">
        <f>'２-Ⅲ'!J6</f>
        <v>121</v>
      </c>
      <c r="H27" s="473">
        <f>IFERROR(G27/G$41,"-")</f>
        <v>6.8516421291053231E-2</v>
      </c>
      <c r="J27" s="43" t="s">
        <v>295</v>
      </c>
      <c r="K27" s="161">
        <v>119</v>
      </c>
      <c r="M27" s="9"/>
      <c r="N27" s="9"/>
    </row>
    <row r="28" spans="1:15" ht="18.75" customHeight="1" x14ac:dyDescent="0.15">
      <c r="A28" s="158"/>
      <c r="B28" s="159"/>
      <c r="C28" s="162" t="s">
        <v>106</v>
      </c>
      <c r="D28" s="376">
        <f>IFERROR(VLOOKUP($O6,疾患別＿65歳以上＿寛解・院内寛解[#All],2,FALSE),0)</f>
        <v>20</v>
      </c>
      <c r="E28" s="484">
        <f t="shared" ref="E28:E40" si="2">IFERROR(D28/D$41,"-")</f>
        <v>2.3696682464454975E-2</v>
      </c>
      <c r="F28" s="24"/>
      <c r="G28" s="374">
        <f>'２-Ⅲ'!J7</f>
        <v>21</v>
      </c>
      <c r="H28" s="267">
        <f t="shared" ref="H28:H40" si="3">IFERROR(G28/G$41,"-")</f>
        <v>1.189127972819932E-2</v>
      </c>
      <c r="J28" s="424" t="s">
        <v>284</v>
      </c>
      <c r="K28" s="393">
        <v>20</v>
      </c>
      <c r="M28" s="9"/>
      <c r="N28" s="9"/>
    </row>
    <row r="29" spans="1:15" ht="37.5" customHeight="1" x14ac:dyDescent="0.15">
      <c r="A29" s="158"/>
      <c r="B29" s="163"/>
      <c r="C29" s="164" t="s">
        <v>68</v>
      </c>
      <c r="D29" s="376">
        <f>IFERROR(VLOOKUP($O7,疾患別＿65歳以上＿寛解・院内寛解[#All],2,FALSE),0)</f>
        <v>131</v>
      </c>
      <c r="E29" s="269">
        <f t="shared" si="2"/>
        <v>0.15521327014218009</v>
      </c>
      <c r="F29" s="24"/>
      <c r="G29" s="375">
        <f>'２-Ⅲ'!J8</f>
        <v>156</v>
      </c>
      <c r="H29" s="476">
        <f t="shared" si="3"/>
        <v>8.8335220838052092E-2</v>
      </c>
      <c r="J29" s="390" t="s">
        <v>285</v>
      </c>
      <c r="K29" s="391">
        <v>131</v>
      </c>
      <c r="M29" s="9"/>
      <c r="N29" s="9"/>
    </row>
    <row r="30" spans="1:15" ht="18.75" customHeight="1" x14ac:dyDescent="0.15">
      <c r="A30" s="158"/>
      <c r="B30" s="646" t="s">
        <v>20</v>
      </c>
      <c r="C30" s="647"/>
      <c r="D30" s="171">
        <f>IFERROR(VLOOKUP($O8,疾患別＿65歳以上＿寛解・院内寛解[#All],2,FALSE),0)+IFERROR(VLOOKUP($O9,疾患別＿65歳以上＿寛解・院内寛解[#All],2,FALSE),0)+IFERROR(VLOOKUP($O10,疾患別＿65歳以上＿寛解・院内寛解[#All],2,FALSE),0)</f>
        <v>77</v>
      </c>
      <c r="E30" s="475">
        <f t="shared" si="2"/>
        <v>9.1232227488151657E-2</v>
      </c>
      <c r="F30" s="166"/>
      <c r="G30" s="165">
        <f>'２-Ⅲ'!J9</f>
        <v>250</v>
      </c>
      <c r="H30" s="475">
        <f t="shared" si="3"/>
        <v>0.14156285390713477</v>
      </c>
      <c r="J30" s="392" t="s">
        <v>286</v>
      </c>
      <c r="K30" s="393">
        <v>74</v>
      </c>
      <c r="M30" s="9"/>
      <c r="N30" s="9"/>
    </row>
    <row r="31" spans="1:15" ht="18.75" customHeight="1" x14ac:dyDescent="0.15">
      <c r="A31" s="158"/>
      <c r="B31" s="646" t="s">
        <v>21</v>
      </c>
      <c r="C31" s="647"/>
      <c r="D31" s="171">
        <f>IFERROR(VLOOKUP($O11,疾患別＿65歳以上＿寛解・院内寛解[#All],2,FALSE),0)</f>
        <v>280</v>
      </c>
      <c r="E31" s="475">
        <f t="shared" si="2"/>
        <v>0.33175355450236965</v>
      </c>
      <c r="F31" s="166"/>
      <c r="G31" s="165">
        <f>'２-Ⅲ'!J10</f>
        <v>707</v>
      </c>
      <c r="H31" s="475">
        <f t="shared" si="3"/>
        <v>0.40033975084937712</v>
      </c>
      <c r="J31" s="390" t="s">
        <v>200</v>
      </c>
      <c r="K31" s="391">
        <v>2</v>
      </c>
    </row>
    <row r="32" spans="1:15" ht="18.75" customHeight="1" x14ac:dyDescent="0.15">
      <c r="A32" s="158"/>
      <c r="B32" s="646" t="s">
        <v>22</v>
      </c>
      <c r="C32" s="647"/>
      <c r="D32" s="171">
        <f>IFERROR(VLOOKUP($O12,疾患別＿65歳以上＿寛解・院内寛解[#All],2,FALSE),0)+IFERROR(VLOOKUP($O13,疾患別＿65歳以上＿寛解・院内寛解[#All],2,FALSE),0)</f>
        <v>178</v>
      </c>
      <c r="E32" s="475">
        <f t="shared" si="2"/>
        <v>0.2109004739336493</v>
      </c>
      <c r="F32" s="166"/>
      <c r="G32" s="165">
        <f>'２-Ⅲ'!J11</f>
        <v>331</v>
      </c>
      <c r="H32" s="475">
        <f t="shared" si="3"/>
        <v>0.18742921857304642</v>
      </c>
      <c r="J32" s="392" t="s">
        <v>201</v>
      </c>
      <c r="K32" s="393">
        <v>1</v>
      </c>
    </row>
    <row r="33" spans="1:14" ht="18.75" customHeight="1" x14ac:dyDescent="0.15">
      <c r="A33" s="158"/>
      <c r="B33" s="646" t="s">
        <v>253</v>
      </c>
      <c r="C33" s="647"/>
      <c r="D33" s="171">
        <f>IFERROR(VLOOKUP($O14,疾患別＿65歳以上＿寛解・院内寛解[#All],2,FALSE),0)</f>
        <v>22</v>
      </c>
      <c r="E33" s="475">
        <f t="shared" si="2"/>
        <v>2.6066350710900472E-2</v>
      </c>
      <c r="F33" s="166"/>
      <c r="G33" s="165">
        <f>'２-Ⅲ'!J12</f>
        <v>78</v>
      </c>
      <c r="H33" s="475">
        <f t="shared" si="3"/>
        <v>4.4167610419026046E-2</v>
      </c>
      <c r="J33" s="390" t="s">
        <v>287</v>
      </c>
      <c r="K33" s="391">
        <v>280</v>
      </c>
      <c r="M33" s="9"/>
      <c r="N33" s="9"/>
    </row>
    <row r="34" spans="1:14" ht="18.75" customHeight="1" x14ac:dyDescent="0.15">
      <c r="A34" s="158"/>
      <c r="B34" s="646" t="s">
        <v>254</v>
      </c>
      <c r="C34" s="647"/>
      <c r="D34" s="171">
        <f>IFERROR(VLOOKUP($O15,疾患別＿65歳以上＿寛解・院内寛解[#All],2,FALSE),0)</f>
        <v>0</v>
      </c>
      <c r="E34" s="475">
        <f t="shared" si="2"/>
        <v>0</v>
      </c>
      <c r="F34" s="166"/>
      <c r="G34" s="165">
        <f>'２-Ⅲ'!J13</f>
        <v>12</v>
      </c>
      <c r="H34" s="475">
        <f t="shared" si="3"/>
        <v>6.7950169875424689E-3</v>
      </c>
      <c r="J34" s="392" t="s">
        <v>288</v>
      </c>
      <c r="K34" s="393">
        <v>83</v>
      </c>
      <c r="M34" s="9"/>
      <c r="N34" s="9"/>
    </row>
    <row r="35" spans="1:14" ht="18.75" customHeight="1" x14ac:dyDescent="0.15">
      <c r="A35" s="158"/>
      <c r="B35" s="646" t="s">
        <v>259</v>
      </c>
      <c r="C35" s="647"/>
      <c r="D35" s="171">
        <f>IFERROR(VLOOKUP($O16,疾患別＿65歳以上＿寛解・院内寛解[#All],2,FALSE),0)</f>
        <v>2</v>
      </c>
      <c r="E35" s="475">
        <f t="shared" si="2"/>
        <v>2.3696682464454978E-3</v>
      </c>
      <c r="F35" s="166"/>
      <c r="G35" s="165">
        <f>'２-Ⅲ'!J14</f>
        <v>16</v>
      </c>
      <c r="H35" s="475">
        <f t="shared" si="3"/>
        <v>9.0600226500566258E-3</v>
      </c>
      <c r="J35" s="390" t="s">
        <v>289</v>
      </c>
      <c r="K35" s="391">
        <v>95</v>
      </c>
      <c r="M35" s="9"/>
      <c r="N35" s="9"/>
    </row>
    <row r="36" spans="1:14" ht="18.75" customHeight="1" x14ac:dyDescent="0.15">
      <c r="A36" s="158"/>
      <c r="B36" s="646" t="s">
        <v>255</v>
      </c>
      <c r="C36" s="647"/>
      <c r="D36" s="171">
        <f>IFERROR(VLOOKUP($O17,疾患別＿65歳以上＿寛解・院内寛解[#All],2,FALSE),0)</f>
        <v>2</v>
      </c>
      <c r="E36" s="475">
        <f t="shared" si="2"/>
        <v>2.3696682464454978E-3</v>
      </c>
      <c r="F36" s="166"/>
      <c r="G36" s="165">
        <f>'２-Ⅲ'!J15</f>
        <v>24</v>
      </c>
      <c r="H36" s="475">
        <f t="shared" si="3"/>
        <v>1.3590033975084938E-2</v>
      </c>
      <c r="J36" s="392" t="s">
        <v>290</v>
      </c>
      <c r="K36" s="393">
        <v>22</v>
      </c>
      <c r="M36" s="9"/>
      <c r="N36" s="9"/>
    </row>
    <row r="37" spans="1:14" ht="18.75" customHeight="1" x14ac:dyDescent="0.15">
      <c r="A37" s="158"/>
      <c r="B37" s="646" t="s">
        <v>23</v>
      </c>
      <c r="C37" s="647"/>
      <c r="D37" s="171">
        <f>IFERROR(VLOOKUP($O18,疾患別＿65歳以上＿寛解・院内寛解[#All],2,FALSE),0)</f>
        <v>2</v>
      </c>
      <c r="E37" s="475">
        <f t="shared" si="2"/>
        <v>2.3696682464454978E-3</v>
      </c>
      <c r="F37" s="166"/>
      <c r="G37" s="165">
        <f>'２-Ⅲ'!J16</f>
        <v>19</v>
      </c>
      <c r="H37" s="475">
        <f t="shared" si="3"/>
        <v>1.0758776896942242E-2</v>
      </c>
      <c r="J37" s="390" t="s">
        <v>296</v>
      </c>
      <c r="K37" s="391">
        <v>2</v>
      </c>
      <c r="M37" s="9"/>
      <c r="N37" s="9"/>
    </row>
    <row r="38" spans="1:14" ht="37.5" customHeight="1" x14ac:dyDescent="0.15">
      <c r="A38" s="158"/>
      <c r="B38" s="646" t="s">
        <v>260</v>
      </c>
      <c r="C38" s="647"/>
      <c r="D38" s="171">
        <f>IFERROR(VLOOKUP($O19,疾患別＿65歳以上＿寛解・院内寛解[#All],2,FALSE),0)</f>
        <v>0</v>
      </c>
      <c r="E38" s="475">
        <f t="shared" si="2"/>
        <v>0</v>
      </c>
      <c r="F38" s="166"/>
      <c r="G38" s="165">
        <f>'２-Ⅲ'!J17</f>
        <v>7</v>
      </c>
      <c r="H38" s="475">
        <f t="shared" si="3"/>
        <v>3.9637599093997732E-3</v>
      </c>
      <c r="J38" s="392" t="s">
        <v>292</v>
      </c>
      <c r="K38" s="393">
        <v>2</v>
      </c>
      <c r="M38" s="9"/>
      <c r="N38" s="9"/>
    </row>
    <row r="39" spans="1:14" ht="18.75" customHeight="1" x14ac:dyDescent="0.15">
      <c r="A39" s="158"/>
      <c r="B39" s="646" t="s">
        <v>67</v>
      </c>
      <c r="C39" s="647"/>
      <c r="D39" s="171">
        <f>IFERROR(VLOOKUP($O20,疾患別＿65歳以上＿寛解・院内寛解[#All],2,FALSE),0)</f>
        <v>4</v>
      </c>
      <c r="E39" s="475">
        <f t="shared" si="2"/>
        <v>4.7393364928909956E-3</v>
      </c>
      <c r="F39" s="166"/>
      <c r="G39" s="165">
        <f>'２-Ⅲ'!J18</f>
        <v>7</v>
      </c>
      <c r="H39" s="475">
        <f t="shared" si="3"/>
        <v>3.9637599093997732E-3</v>
      </c>
      <c r="J39" s="390" t="s">
        <v>293</v>
      </c>
      <c r="K39" s="391">
        <v>2</v>
      </c>
      <c r="M39" s="9"/>
      <c r="N39" s="9"/>
    </row>
    <row r="40" spans="1:14" ht="18.75" customHeight="1" x14ac:dyDescent="0.15">
      <c r="A40" s="158"/>
      <c r="B40" s="648" t="s">
        <v>18</v>
      </c>
      <c r="C40" s="649"/>
      <c r="D40" s="171">
        <f>IFERROR(VLOOKUP($O21,疾患別＿65歳以上＿寛解・院内寛解[#All],2,FALSE),0)</f>
        <v>7</v>
      </c>
      <c r="E40" s="475">
        <f t="shared" si="2"/>
        <v>8.2938388625592423E-3</v>
      </c>
      <c r="F40" s="166"/>
      <c r="G40" s="165">
        <f>'２-Ⅲ'!J19</f>
        <v>17</v>
      </c>
      <c r="H40" s="475">
        <f t="shared" si="3"/>
        <v>9.6262740656851645E-3</v>
      </c>
      <c r="J40" s="392" t="s">
        <v>18</v>
      </c>
      <c r="K40" s="393">
        <v>7</v>
      </c>
      <c r="M40" s="9"/>
      <c r="N40" s="9"/>
    </row>
    <row r="41" spans="1:14" ht="18.75" customHeight="1" x14ac:dyDescent="0.15">
      <c r="B41" s="650" t="s">
        <v>160</v>
      </c>
      <c r="C41" s="650"/>
      <c r="D41" s="339">
        <f>SUM(D27:D40)</f>
        <v>844</v>
      </c>
      <c r="E41" s="619">
        <f>SUM(E27:E40)</f>
        <v>0.99999999999999989</v>
      </c>
      <c r="F41" s="167"/>
      <c r="G41" s="339">
        <f>SUM(G27:G40)</f>
        <v>1766</v>
      </c>
      <c r="H41" s="619">
        <f t="shared" ref="H41" si="4">G41/$G$41</f>
        <v>1</v>
      </c>
      <c r="J41" s="390" t="s">
        <v>294</v>
      </c>
      <c r="K41" s="391">
        <v>4</v>
      </c>
      <c r="M41" s="9"/>
      <c r="N41" s="9"/>
    </row>
    <row r="42" spans="1:14" x14ac:dyDescent="0.15">
      <c r="J42" s="394"/>
      <c r="K42" s="393"/>
    </row>
    <row r="43" spans="1:14" x14ac:dyDescent="0.15">
      <c r="J43" s="389"/>
      <c r="K43" s="388"/>
    </row>
    <row r="46" spans="1:14" x14ac:dyDescent="0.15">
      <c r="E46" s="4"/>
      <c r="F46" s="4"/>
      <c r="G46" s="4"/>
    </row>
    <row r="47" spans="1:14" x14ac:dyDescent="0.15">
      <c r="E47" s="4"/>
      <c r="F47" s="4"/>
      <c r="G47" s="4"/>
    </row>
    <row r="50" spans="3:9" x14ac:dyDescent="0.15">
      <c r="E50" s="33"/>
      <c r="F50" s="33"/>
      <c r="G50" s="33"/>
      <c r="I50" s="172"/>
    </row>
    <row r="51" spans="3:9" x14ac:dyDescent="0.15">
      <c r="E51" s="36"/>
      <c r="F51" s="36"/>
      <c r="G51" s="36"/>
      <c r="I51" s="172"/>
    </row>
    <row r="52" spans="3:9" x14ac:dyDescent="0.15">
      <c r="E52" s="36"/>
      <c r="F52" s="36"/>
      <c r="G52" s="36"/>
      <c r="I52" s="7"/>
    </row>
    <row r="53" spans="3:9" x14ac:dyDescent="0.15">
      <c r="E53" s="36"/>
      <c r="F53" s="36"/>
      <c r="G53" s="36"/>
      <c r="I53" s="172"/>
    </row>
    <row r="54" spans="3:9" x14ac:dyDescent="0.15">
      <c r="E54" s="36"/>
      <c r="F54" s="36"/>
      <c r="G54" s="36"/>
      <c r="I54" s="172"/>
    </row>
    <row r="55" spans="3:9" x14ac:dyDescent="0.15">
      <c r="E55" s="36"/>
      <c r="F55" s="36"/>
      <c r="G55" s="36"/>
      <c r="I55" s="172"/>
    </row>
    <row r="56" spans="3:9" x14ac:dyDescent="0.15">
      <c r="E56" s="36"/>
      <c r="F56" s="36"/>
      <c r="G56" s="36"/>
      <c r="I56" s="172"/>
    </row>
    <row r="57" spans="3:9" x14ac:dyDescent="0.15">
      <c r="E57" s="36"/>
      <c r="F57" s="36"/>
      <c r="G57" s="36"/>
      <c r="I57" s="172"/>
    </row>
    <row r="58" spans="3:9" x14ac:dyDescent="0.15">
      <c r="E58" s="36"/>
      <c r="F58" s="36"/>
      <c r="G58" s="36"/>
      <c r="I58" s="172"/>
    </row>
    <row r="59" spans="3:9" x14ac:dyDescent="0.15">
      <c r="E59" s="36"/>
      <c r="F59" s="36"/>
      <c r="G59" s="36"/>
      <c r="I59" s="173"/>
    </row>
    <row r="60" spans="3:9" x14ac:dyDescent="0.15">
      <c r="E60" s="36"/>
      <c r="F60" s="36"/>
      <c r="G60" s="36"/>
      <c r="I60" s="173"/>
    </row>
    <row r="61" spans="3:9" x14ac:dyDescent="0.15">
      <c r="E61" s="36"/>
      <c r="F61" s="36"/>
      <c r="G61" s="36"/>
      <c r="I61" s="173"/>
    </row>
    <row r="62" spans="3:9" x14ac:dyDescent="0.15">
      <c r="C62" s="38"/>
      <c r="D62" s="39"/>
      <c r="E62" s="36"/>
      <c r="F62" s="36"/>
      <c r="G62" s="36"/>
      <c r="I62" s="172"/>
    </row>
    <row r="63" spans="3:9" x14ac:dyDescent="0.15">
      <c r="C63" s="38"/>
      <c r="D63" s="39"/>
      <c r="E63" s="36"/>
      <c r="F63" s="36"/>
      <c r="G63" s="36"/>
      <c r="I63" s="7"/>
    </row>
  </sheetData>
  <mergeCells count="30">
    <mergeCell ref="B30:C30"/>
    <mergeCell ref="B13:C13"/>
    <mergeCell ref="B5:C5"/>
    <mergeCell ref="B6:C6"/>
    <mergeCell ref="B10:C10"/>
    <mergeCell ref="B11:C11"/>
    <mergeCell ref="B12:C12"/>
    <mergeCell ref="B41:C41"/>
    <mergeCell ref="B32:C32"/>
    <mergeCell ref="B33:C33"/>
    <mergeCell ref="B34:C34"/>
    <mergeCell ref="B35:C35"/>
    <mergeCell ref="B36:C36"/>
    <mergeCell ref="B37:C37"/>
    <mergeCell ref="G4:H4"/>
    <mergeCell ref="G24:H24"/>
    <mergeCell ref="B38:C38"/>
    <mergeCell ref="B39:C39"/>
    <mergeCell ref="B40:C40"/>
    <mergeCell ref="B31:C31"/>
    <mergeCell ref="B14:C14"/>
    <mergeCell ref="B15:C15"/>
    <mergeCell ref="B16:C16"/>
    <mergeCell ref="B17:C17"/>
    <mergeCell ref="B18:C18"/>
    <mergeCell ref="B19:C19"/>
    <mergeCell ref="B20:C20"/>
    <mergeCell ref="B21:C21"/>
    <mergeCell ref="B25:C25"/>
    <mergeCell ref="B26:C26"/>
  </mergeCells>
  <phoneticPr fontId="2"/>
  <printOptions horizontalCentered="1"/>
  <pageMargins left="0.70866141732283472" right="0.70866141732283472" top="1.1417322834645669" bottom="0.74803149606299213" header="0.70866141732283472"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データ削除14">
                <anchor moveWithCells="1" sizeWithCells="1">
                  <from>
                    <xdr:col>11</xdr:col>
                    <xdr:colOff>552450</xdr:colOff>
                    <xdr:row>4</xdr:row>
                    <xdr:rowOff>19050</xdr:rowOff>
                  </from>
                  <to>
                    <xdr:col>13</xdr:col>
                    <xdr:colOff>533400</xdr:colOff>
                    <xdr:row>5</xdr:row>
                    <xdr:rowOff>228600</xdr:rowOff>
                  </to>
                </anchor>
              </controlPr>
            </control>
          </mc:Choice>
        </mc:AlternateContent>
      </controls>
    </mc:Choice>
  </mc:AlternateContent>
  <tableParts count="2">
    <tablePart r:id="rId5"/>
    <tablePart r:id="rId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C000"/>
    <pageSetUpPr fitToPage="1"/>
  </sheetPr>
  <dimension ref="A1:R50"/>
  <sheetViews>
    <sheetView showGridLines="0" zoomScale="80" zoomScaleNormal="80" zoomScaleSheetLayoutView="80" workbookViewId="0">
      <selection activeCell="H30" sqref="H30"/>
    </sheetView>
  </sheetViews>
  <sheetFormatPr defaultRowHeight="18.75" x14ac:dyDescent="0.15"/>
  <cols>
    <col min="1" max="1" width="23.75" style="1" customWidth="1"/>
    <col min="2" max="4" width="9.375" style="1" customWidth="1"/>
    <col min="5" max="5" width="9.375" style="42" customWidth="1"/>
    <col min="6" max="6" width="0.625" style="1" customWidth="1"/>
    <col min="7" max="8" width="9.375" style="1" customWidth="1"/>
    <col min="9" max="9" width="0" style="1" hidden="1" customWidth="1"/>
    <col min="10" max="14" width="13.625" style="1" hidden="1" customWidth="1"/>
    <col min="15" max="18" width="9" style="1" hidden="1" customWidth="1"/>
    <col min="19" max="16384" width="9" style="1"/>
  </cols>
  <sheetData>
    <row r="1" spans="1:17" ht="19.5" x14ac:dyDescent="0.15">
      <c r="A1" s="2" t="s">
        <v>206</v>
      </c>
    </row>
    <row r="3" spans="1:17" ht="18.75" customHeight="1" x14ac:dyDescent="0.15">
      <c r="A3" s="659"/>
      <c r="B3" s="654" t="s">
        <v>109</v>
      </c>
      <c r="C3" s="655"/>
      <c r="D3" s="655"/>
      <c r="E3" s="656"/>
      <c r="F3" s="139"/>
      <c r="G3" s="660" t="s">
        <v>105</v>
      </c>
      <c r="H3" s="661"/>
      <c r="J3" s="56" t="s">
        <v>63</v>
      </c>
    </row>
    <row r="4" spans="1:17" ht="18.75" customHeight="1" thickBot="1" x14ac:dyDescent="0.2">
      <c r="A4" s="659"/>
      <c r="B4" s="654"/>
      <c r="C4" s="656"/>
      <c r="D4" s="657" t="s">
        <v>104</v>
      </c>
      <c r="E4" s="658"/>
      <c r="F4" s="139"/>
      <c r="G4" s="662"/>
      <c r="H4" s="663"/>
      <c r="J4" s="387" t="s">
        <v>299</v>
      </c>
      <c r="K4" s="494" t="s">
        <v>278</v>
      </c>
      <c r="L4" s="3"/>
      <c r="M4" s="387" t="s">
        <v>299</v>
      </c>
      <c r="N4" s="501" t="s">
        <v>305</v>
      </c>
    </row>
    <row r="5" spans="1:17" ht="18.75" customHeight="1" thickTop="1" thickBot="1" x14ac:dyDescent="0.2">
      <c r="A5" s="659"/>
      <c r="B5" s="340" t="s">
        <v>0</v>
      </c>
      <c r="C5" s="341" t="s">
        <v>1</v>
      </c>
      <c r="D5" s="340" t="s">
        <v>0</v>
      </c>
      <c r="E5" s="341" t="s">
        <v>1</v>
      </c>
      <c r="F5" s="139"/>
      <c r="G5" s="340" t="s">
        <v>0</v>
      </c>
      <c r="H5" s="341" t="s">
        <v>1</v>
      </c>
      <c r="J5" s="427" t="s">
        <v>370</v>
      </c>
      <c r="K5" s="130" t="s">
        <v>584</v>
      </c>
      <c r="M5" s="427" t="s">
        <v>370</v>
      </c>
      <c r="N5" s="130" t="s">
        <v>584</v>
      </c>
    </row>
    <row r="6" spans="1:17" ht="18.75" customHeight="1" thickTop="1" x14ac:dyDescent="0.15">
      <c r="A6" s="285" t="s">
        <v>60</v>
      </c>
      <c r="B6" s="342">
        <f>IFERROR(VLOOKUP($Q6,在院期間＿65歳以上[#All],2,FALSE),0)</f>
        <v>735</v>
      </c>
      <c r="C6" s="477">
        <f>IFERROR(B6/B$22,"-")</f>
        <v>7.9934747145187598E-2</v>
      </c>
      <c r="D6" s="343">
        <f>IFERROR(VLOOKUP($Q6,在院期間＿65歳以上＿寛解・院内寛解[#All],2,FALSE),0)</f>
        <v>104</v>
      </c>
      <c r="E6" s="479">
        <f>IFERROR(D6/D$22,"-")</f>
        <v>0.12322274881516587</v>
      </c>
      <c r="G6" s="346">
        <f>'２-Ⅳ'!B5</f>
        <v>1704</v>
      </c>
      <c r="H6" s="347">
        <f>IFERROR(G6/G$22,"-")</f>
        <v>0.11171572805349768</v>
      </c>
      <c r="J6" s="43" t="s">
        <v>182</v>
      </c>
      <c r="K6" s="60">
        <v>735</v>
      </c>
      <c r="M6" s="43" t="s">
        <v>182</v>
      </c>
      <c r="N6" s="60">
        <v>104</v>
      </c>
      <c r="Q6" s="403" t="s">
        <v>182</v>
      </c>
    </row>
    <row r="7" spans="1:17" ht="18.75" customHeight="1" x14ac:dyDescent="0.15">
      <c r="A7" s="285" t="s">
        <v>207</v>
      </c>
      <c r="B7" s="342">
        <f>IFERROR(VLOOKUP($Q7,在院期間＿65歳以上[#All],2,FALSE),0)</f>
        <v>953</v>
      </c>
      <c r="C7" s="477">
        <f t="shared" ref="C7:C26" si="0">IFERROR(B7/B$22,"-")</f>
        <v>0.10364328439369222</v>
      </c>
      <c r="D7" s="343">
        <f>IFERROR(VLOOKUP($Q7,在院期間＿65歳以上＿寛解・院内寛解[#All],2,FALSE),0)</f>
        <v>202</v>
      </c>
      <c r="E7" s="479">
        <f t="shared" ref="E7:E21" si="1">IFERROR(D7/D$22,"-")</f>
        <v>0.23933649289099526</v>
      </c>
      <c r="G7" s="346">
        <f>'２-Ⅳ'!B6</f>
        <v>1813</v>
      </c>
      <c r="H7" s="347">
        <f t="shared" ref="H7:H26" si="2">IFERROR(G7/G$22,"-")</f>
        <v>0.11886186324001835</v>
      </c>
      <c r="J7" s="43" t="s">
        <v>183</v>
      </c>
      <c r="K7" s="60">
        <v>953</v>
      </c>
      <c r="M7" s="43" t="s">
        <v>183</v>
      </c>
      <c r="N7" s="399">
        <v>202</v>
      </c>
      <c r="Q7" s="403" t="s">
        <v>183</v>
      </c>
    </row>
    <row r="8" spans="1:17" ht="18.75" customHeight="1" x14ac:dyDescent="0.15">
      <c r="A8" s="285" t="s">
        <v>208</v>
      </c>
      <c r="B8" s="342">
        <f>IFERROR(VLOOKUP($Q8,在院期間＿65歳以上[#All],2,FALSE),0)</f>
        <v>839</v>
      </c>
      <c r="C8" s="477">
        <f t="shared" si="0"/>
        <v>9.1245241979336603E-2</v>
      </c>
      <c r="D8" s="343">
        <f>IFERROR(VLOOKUP($Q8,在院期間＿65歳以上＿寛解・院内寛解[#All],2,FALSE),0)</f>
        <v>108</v>
      </c>
      <c r="E8" s="479">
        <f t="shared" si="1"/>
        <v>0.12796208530805686</v>
      </c>
      <c r="G8" s="346">
        <f>'２-Ⅳ'!B7</f>
        <v>1240</v>
      </c>
      <c r="H8" s="347">
        <f t="shared" si="2"/>
        <v>8.1295482855831644E-2</v>
      </c>
      <c r="J8" s="43" t="s">
        <v>184</v>
      </c>
      <c r="K8" s="60">
        <v>839</v>
      </c>
      <c r="M8" s="43" t="s">
        <v>184</v>
      </c>
      <c r="N8" s="399">
        <v>108</v>
      </c>
      <c r="Q8" s="404" t="s">
        <v>184</v>
      </c>
    </row>
    <row r="9" spans="1:17" ht="18.75" customHeight="1" x14ac:dyDescent="0.15">
      <c r="A9" s="285" t="s">
        <v>209</v>
      </c>
      <c r="B9" s="342">
        <f>IFERROR(VLOOKUP($Q9,在院期間＿65歳以上[#All],2,FALSE),0)</f>
        <v>1004</v>
      </c>
      <c r="C9" s="477">
        <f t="shared" si="0"/>
        <v>0.10918977705274606</v>
      </c>
      <c r="D9" s="343">
        <f>IFERROR(VLOOKUP($Q9,在院期間＿65歳以上＿寛解・院内寛解[#All],2,FALSE),0)</f>
        <v>91</v>
      </c>
      <c r="E9" s="479">
        <f t="shared" si="1"/>
        <v>0.10781990521327015</v>
      </c>
      <c r="G9" s="346">
        <f>'２-Ⅳ'!B8</f>
        <v>1434</v>
      </c>
      <c r="H9" s="347">
        <f t="shared" si="2"/>
        <v>9.4014292270373043E-2</v>
      </c>
      <c r="J9" s="43" t="s">
        <v>185</v>
      </c>
      <c r="K9" s="60">
        <v>1004</v>
      </c>
      <c r="M9" s="43" t="s">
        <v>185</v>
      </c>
      <c r="N9" s="399">
        <v>91</v>
      </c>
      <c r="Q9" s="403" t="s">
        <v>185</v>
      </c>
    </row>
    <row r="10" spans="1:17" ht="18.75" customHeight="1" x14ac:dyDescent="0.15">
      <c r="A10" s="285" t="s">
        <v>210</v>
      </c>
      <c r="B10" s="342">
        <f>IFERROR(VLOOKUP($Q10,在院期間＿65歳以上[#All],2,FALSE),0)</f>
        <v>708</v>
      </c>
      <c r="C10" s="477">
        <f t="shared" si="0"/>
        <v>7.6998368678629692E-2</v>
      </c>
      <c r="D10" s="343">
        <f>IFERROR(VLOOKUP($Q10,在院期間＿65歳以上＿寛解・院内寛解[#All],2,FALSE),0)</f>
        <v>47</v>
      </c>
      <c r="E10" s="479">
        <f t="shared" si="1"/>
        <v>5.5687203791469193E-2</v>
      </c>
      <c r="G10" s="346">
        <f>'２-Ⅳ'!B9</f>
        <v>1008</v>
      </c>
      <c r="H10" s="347">
        <f t="shared" si="2"/>
        <v>6.6085360256998626E-2</v>
      </c>
      <c r="J10" s="43" t="s">
        <v>186</v>
      </c>
      <c r="K10" s="60">
        <v>708</v>
      </c>
      <c r="M10" s="43" t="s">
        <v>186</v>
      </c>
      <c r="N10" s="399">
        <v>47</v>
      </c>
      <c r="Q10" s="404" t="s">
        <v>186</v>
      </c>
    </row>
    <row r="11" spans="1:17" ht="18.75" customHeight="1" x14ac:dyDescent="0.15">
      <c r="A11" s="285" t="s">
        <v>211</v>
      </c>
      <c r="B11" s="342">
        <f>IFERROR(VLOOKUP($Q11,在院期間＿65歳以上[#All],2,FALSE),0)</f>
        <v>581</v>
      </c>
      <c r="C11" s="477">
        <f t="shared" si="0"/>
        <v>6.3186514410005432E-2</v>
      </c>
      <c r="D11" s="343">
        <f>IFERROR(VLOOKUP($Q11,在院期間＿65歳以上＿寛解・院内寛解[#All],2,FALSE),0)</f>
        <v>41</v>
      </c>
      <c r="E11" s="479">
        <f t="shared" si="1"/>
        <v>4.8578199052132703E-2</v>
      </c>
      <c r="G11" s="346">
        <f>'２-Ⅳ'!B10</f>
        <v>863</v>
      </c>
      <c r="H11" s="347">
        <f t="shared" si="2"/>
        <v>5.6579033632727989E-2</v>
      </c>
      <c r="J11" s="43" t="s">
        <v>187</v>
      </c>
      <c r="K11" s="60">
        <v>581</v>
      </c>
      <c r="M11" s="43" t="s">
        <v>187</v>
      </c>
      <c r="N11" s="399">
        <v>41</v>
      </c>
      <c r="Q11" s="403" t="s">
        <v>187</v>
      </c>
    </row>
    <row r="12" spans="1:17" ht="18.75" customHeight="1" x14ac:dyDescent="0.15">
      <c r="A12" s="285" t="s">
        <v>212</v>
      </c>
      <c r="B12" s="342">
        <f>IFERROR(VLOOKUP($Q12,在院期間＿65歳以上[#All],2,FALSE),0)</f>
        <v>847</v>
      </c>
      <c r="C12" s="477">
        <f t="shared" si="0"/>
        <v>9.2115280043501904E-2</v>
      </c>
      <c r="D12" s="343">
        <f>IFERROR(VLOOKUP($Q12,在院期間＿65歳以上＿寛解・院内寛解[#All],2,FALSE),0)</f>
        <v>56</v>
      </c>
      <c r="E12" s="479">
        <f t="shared" si="1"/>
        <v>6.6350710900473939E-2</v>
      </c>
      <c r="G12" s="346">
        <f>'２-Ⅳ'!B11</f>
        <v>1271</v>
      </c>
      <c r="H12" s="347">
        <f t="shared" si="2"/>
        <v>8.3327869927227433E-2</v>
      </c>
      <c r="J12" s="43" t="s">
        <v>188</v>
      </c>
      <c r="K12" s="60">
        <v>847</v>
      </c>
      <c r="M12" s="43" t="s">
        <v>188</v>
      </c>
      <c r="N12" s="399">
        <v>56</v>
      </c>
      <c r="Q12" s="404" t="s">
        <v>188</v>
      </c>
    </row>
    <row r="13" spans="1:17" ht="18.75" customHeight="1" x14ac:dyDescent="0.15">
      <c r="A13" s="285" t="s">
        <v>213</v>
      </c>
      <c r="B13" s="342">
        <f>IFERROR(VLOOKUP($Q13,在院期間＿65歳以上[#All],2,FALSE),0)</f>
        <v>634</v>
      </c>
      <c r="C13" s="477">
        <f t="shared" si="0"/>
        <v>6.8950516585100596E-2</v>
      </c>
      <c r="D13" s="343">
        <f>IFERROR(VLOOKUP($Q13,在院期間＿65歳以上＿寛解・院内寛解[#All],2,FALSE),0)</f>
        <v>41</v>
      </c>
      <c r="E13" s="479">
        <f t="shared" si="1"/>
        <v>4.8578199052132703E-2</v>
      </c>
      <c r="G13" s="346">
        <f>'２-Ⅳ'!B12</f>
        <v>1008</v>
      </c>
      <c r="H13" s="347">
        <f t="shared" si="2"/>
        <v>6.6085360256998626E-2</v>
      </c>
      <c r="J13" s="43" t="s">
        <v>189</v>
      </c>
      <c r="K13" s="60">
        <v>634</v>
      </c>
      <c r="M13" s="43" t="s">
        <v>189</v>
      </c>
      <c r="N13" s="399">
        <v>41</v>
      </c>
      <c r="Q13" s="403" t="s">
        <v>189</v>
      </c>
    </row>
    <row r="14" spans="1:17" ht="18.75" customHeight="1" x14ac:dyDescent="0.15">
      <c r="A14" s="285" t="s">
        <v>214</v>
      </c>
      <c r="B14" s="342">
        <f>IFERROR(VLOOKUP($Q14,在院期間＿65歳以上[#All],2,FALSE),0)</f>
        <v>469</v>
      </c>
      <c r="C14" s="477">
        <f t="shared" si="0"/>
        <v>5.100598151169114E-2</v>
      </c>
      <c r="D14" s="343">
        <f>IFERROR(VLOOKUP($Q14,在院期間＿65歳以上＿寛解・院内寛解[#All],2,FALSE),0)</f>
        <v>19</v>
      </c>
      <c r="E14" s="479">
        <f t="shared" si="1"/>
        <v>2.2511848341232227E-2</v>
      </c>
      <c r="G14" s="346">
        <f>'２-Ⅳ'!B13</f>
        <v>731</v>
      </c>
      <c r="H14" s="347">
        <f t="shared" si="2"/>
        <v>4.7924998360978167E-2</v>
      </c>
      <c r="J14" s="43" t="s">
        <v>190</v>
      </c>
      <c r="K14" s="60">
        <v>469</v>
      </c>
      <c r="M14" s="43" t="s">
        <v>190</v>
      </c>
      <c r="N14" s="399">
        <v>19</v>
      </c>
      <c r="Q14" s="404" t="s">
        <v>190</v>
      </c>
    </row>
    <row r="15" spans="1:17" ht="18.75" customHeight="1" x14ac:dyDescent="0.15">
      <c r="A15" s="285" t="s">
        <v>215</v>
      </c>
      <c r="B15" s="342">
        <f>IFERROR(VLOOKUP($Q15,在院期間＿65歳以上[#All],2,FALSE),0)</f>
        <v>299</v>
      </c>
      <c r="C15" s="477">
        <f t="shared" si="0"/>
        <v>3.2517672648178356E-2</v>
      </c>
      <c r="D15" s="343">
        <f>IFERROR(VLOOKUP($Q15,在院期間＿65歳以上＿寛解・院内寛解[#All],2,FALSE),0)</f>
        <v>11</v>
      </c>
      <c r="E15" s="479">
        <f t="shared" si="1"/>
        <v>1.3033175355450236E-2</v>
      </c>
      <c r="G15" s="346">
        <f>'２-Ⅳ'!B14</f>
        <v>498</v>
      </c>
      <c r="H15" s="347">
        <f t="shared" si="2"/>
        <v>3.264931488887432E-2</v>
      </c>
      <c r="J15" s="43" t="s">
        <v>191</v>
      </c>
      <c r="K15" s="60">
        <v>299</v>
      </c>
      <c r="M15" s="43" t="s">
        <v>191</v>
      </c>
      <c r="N15" s="399">
        <v>11</v>
      </c>
      <c r="Q15" s="403" t="s">
        <v>191</v>
      </c>
    </row>
    <row r="16" spans="1:17" ht="18.75" customHeight="1" x14ac:dyDescent="0.15">
      <c r="A16" s="285" t="s">
        <v>216</v>
      </c>
      <c r="B16" s="342">
        <f>IFERROR(VLOOKUP($Q16,在院期間＿65歳以上[#All],2,FALSE),0)</f>
        <v>237</v>
      </c>
      <c r="C16" s="477">
        <f t="shared" si="0"/>
        <v>2.5774877650897227E-2</v>
      </c>
      <c r="D16" s="343">
        <f>IFERROR(VLOOKUP($Q16,在院期間＿65歳以上＿寛解・院内寛解[#All],2,FALSE),0)</f>
        <v>23</v>
      </c>
      <c r="E16" s="479">
        <f t="shared" si="1"/>
        <v>2.7251184834123223E-2</v>
      </c>
      <c r="G16" s="346">
        <f>'２-Ⅳ'!B15</f>
        <v>437</v>
      </c>
      <c r="H16" s="347">
        <f t="shared" si="2"/>
        <v>2.8650101619353569E-2</v>
      </c>
      <c r="J16" s="43" t="s">
        <v>192</v>
      </c>
      <c r="K16" s="60">
        <v>237</v>
      </c>
      <c r="M16" s="43" t="s">
        <v>192</v>
      </c>
      <c r="N16" s="399">
        <v>23</v>
      </c>
      <c r="Q16" s="404" t="s">
        <v>192</v>
      </c>
    </row>
    <row r="17" spans="1:17" ht="18.75" customHeight="1" x14ac:dyDescent="0.15">
      <c r="A17" s="285" t="s">
        <v>217</v>
      </c>
      <c r="B17" s="342">
        <f>IFERROR(VLOOKUP($Q17,在院期間＿65歳以上[#All],2,FALSE),0)</f>
        <v>236</v>
      </c>
      <c r="C17" s="477">
        <f t="shared" si="0"/>
        <v>2.5666122892876564E-2</v>
      </c>
      <c r="D17" s="343">
        <f>IFERROR(VLOOKUP($Q17,在院期間＿65歳以上＿寛解・院内寛解[#All],2,FALSE),0)</f>
        <v>11</v>
      </c>
      <c r="E17" s="479">
        <f t="shared" si="1"/>
        <v>1.3033175355450236E-2</v>
      </c>
      <c r="G17" s="346">
        <f>'２-Ⅳ'!B16</f>
        <v>385</v>
      </c>
      <c r="H17" s="347">
        <f t="shared" si="2"/>
        <v>2.5240936209270308E-2</v>
      </c>
      <c r="J17" s="43" t="s">
        <v>193</v>
      </c>
      <c r="K17" s="60">
        <v>236</v>
      </c>
      <c r="M17" s="43" t="s">
        <v>193</v>
      </c>
      <c r="N17" s="399">
        <v>11</v>
      </c>
      <c r="Q17" s="403" t="s">
        <v>193</v>
      </c>
    </row>
    <row r="18" spans="1:17" ht="18.75" customHeight="1" x14ac:dyDescent="0.15">
      <c r="A18" s="285" t="s">
        <v>218</v>
      </c>
      <c r="B18" s="342">
        <f>IFERROR(VLOOKUP($Q18,在院期間＿65歳以上[#All],2,FALSE),0)</f>
        <v>161</v>
      </c>
      <c r="C18" s="477">
        <f t="shared" si="0"/>
        <v>1.7509516041326809E-2</v>
      </c>
      <c r="D18" s="343">
        <f>IFERROR(VLOOKUP($Q18,在院期間＿65歳以上＿寛解・院内寛解[#All],2,FALSE),0)</f>
        <v>10</v>
      </c>
      <c r="E18" s="479">
        <f t="shared" si="1"/>
        <v>1.1848341232227487E-2</v>
      </c>
      <c r="G18" s="346">
        <f>'２-Ⅳ'!B17</f>
        <v>306</v>
      </c>
      <c r="H18" s="347">
        <f t="shared" si="2"/>
        <v>2.0061627220874581E-2</v>
      </c>
      <c r="J18" s="43" t="s">
        <v>194</v>
      </c>
      <c r="K18" s="60">
        <v>161</v>
      </c>
      <c r="M18" s="43" t="s">
        <v>194</v>
      </c>
      <c r="N18" s="399">
        <v>10</v>
      </c>
      <c r="Q18" s="404" t="s">
        <v>194</v>
      </c>
    </row>
    <row r="19" spans="1:17" ht="18.75" customHeight="1" x14ac:dyDescent="0.15">
      <c r="A19" s="285" t="s">
        <v>219</v>
      </c>
      <c r="B19" s="342">
        <f>IFERROR(VLOOKUP($Q19,在院期間＿65歳以上[#All],2,FALSE),0)</f>
        <v>157</v>
      </c>
      <c r="C19" s="477">
        <f t="shared" si="0"/>
        <v>1.7074497009244155E-2</v>
      </c>
      <c r="D19" s="343">
        <f>IFERROR(VLOOKUP($Q19,在院期間＿65歳以上＿寛解・院内寛解[#All],2,FALSE),0)</f>
        <v>14</v>
      </c>
      <c r="E19" s="479">
        <f t="shared" si="1"/>
        <v>1.6587677725118485E-2</v>
      </c>
      <c r="G19" s="346">
        <f>'２-Ⅳ'!B18</f>
        <v>286</v>
      </c>
      <c r="H19" s="347">
        <f t="shared" si="2"/>
        <v>1.8750409755457942E-2</v>
      </c>
      <c r="J19" s="43" t="s">
        <v>195</v>
      </c>
      <c r="K19" s="60">
        <v>157</v>
      </c>
      <c r="M19" s="43" t="s">
        <v>195</v>
      </c>
      <c r="N19" s="399">
        <v>14</v>
      </c>
      <c r="Q19" s="403" t="s">
        <v>195</v>
      </c>
    </row>
    <row r="20" spans="1:17" ht="18.75" customHeight="1" x14ac:dyDescent="0.15">
      <c r="A20" s="285" t="s">
        <v>220</v>
      </c>
      <c r="B20" s="342">
        <f>IFERROR(VLOOKUP($Q20,在院期間＿65歳以上[#All],2,FALSE),0)</f>
        <v>775</v>
      </c>
      <c r="C20" s="477">
        <f t="shared" si="0"/>
        <v>8.4284937466014134E-2</v>
      </c>
      <c r="D20" s="343">
        <f>IFERROR(VLOOKUP($Q20,在院期間＿65歳以上＿寛解・院内寛解[#All],2,FALSE),0)</f>
        <v>42</v>
      </c>
      <c r="E20" s="479">
        <f t="shared" si="1"/>
        <v>4.9763033175355451E-2</v>
      </c>
      <c r="G20" s="346">
        <f>'２-Ⅳ'!B19</f>
        <v>1413</v>
      </c>
      <c r="H20" s="347">
        <f t="shared" si="2"/>
        <v>9.2637513931685567E-2</v>
      </c>
      <c r="J20" s="43" t="s">
        <v>196</v>
      </c>
      <c r="K20" s="60">
        <v>775</v>
      </c>
      <c r="M20" s="43" t="s">
        <v>196</v>
      </c>
      <c r="N20" s="399">
        <v>42</v>
      </c>
      <c r="Q20" s="404" t="s">
        <v>196</v>
      </c>
    </row>
    <row r="21" spans="1:17" ht="18.75" customHeight="1" x14ac:dyDescent="0.15">
      <c r="A21" s="285" t="s">
        <v>61</v>
      </c>
      <c r="B21" s="342">
        <f>IFERROR(VLOOKUP($Q21,在院期間＿65歳以上[#All],2,FALSE),0)</f>
        <v>560</v>
      </c>
      <c r="C21" s="478">
        <f t="shared" si="0"/>
        <v>6.0902664491571508E-2</v>
      </c>
      <c r="D21" s="343">
        <f>IFERROR(VLOOKUP($Q21,在院期間＿65歳以上＿寛解・院内寛解[#All],2,FALSE),0)</f>
        <v>24</v>
      </c>
      <c r="E21" s="480">
        <f t="shared" si="1"/>
        <v>2.843601895734597E-2</v>
      </c>
      <c r="G21" s="346">
        <f>'２-Ⅳ'!B20</f>
        <v>856</v>
      </c>
      <c r="H21" s="348">
        <f t="shared" si="2"/>
        <v>5.6120107519832166E-2</v>
      </c>
      <c r="I21" s="139"/>
      <c r="J21" s="43" t="s">
        <v>197</v>
      </c>
      <c r="K21" s="60">
        <v>560</v>
      </c>
      <c r="M21" s="43" t="s">
        <v>197</v>
      </c>
      <c r="N21" s="399">
        <v>24</v>
      </c>
      <c r="Q21" s="403" t="s">
        <v>197</v>
      </c>
    </row>
    <row r="22" spans="1:17" ht="18.75" customHeight="1" x14ac:dyDescent="0.15">
      <c r="A22" s="349" t="s">
        <v>160</v>
      </c>
      <c r="B22" s="350">
        <f>SUM(B6:B21)</f>
        <v>9195</v>
      </c>
      <c r="C22" s="351">
        <f t="shared" ref="C22:D22" si="3">SUM(C6:C21)</f>
        <v>1</v>
      </c>
      <c r="D22" s="350">
        <f t="shared" si="3"/>
        <v>844</v>
      </c>
      <c r="E22" s="352">
        <f t="shared" ref="E22" si="4">SUM(E6:E21)</f>
        <v>0.99999999999999989</v>
      </c>
      <c r="G22" s="354">
        <f>SUM(G6:G21)</f>
        <v>15253</v>
      </c>
      <c r="H22" s="353">
        <f t="shared" ref="H22" si="5">SUM(H6:H21)</f>
        <v>1</v>
      </c>
      <c r="I22" s="150"/>
    </row>
    <row r="23" spans="1:17" ht="18.75" customHeight="1" x14ac:dyDescent="0.15">
      <c r="A23" s="297" t="s">
        <v>56</v>
      </c>
      <c r="B23" s="344">
        <f>SUM(B6:B9)</f>
        <v>3531</v>
      </c>
      <c r="C23" s="345">
        <f t="shared" si="0"/>
        <v>0.38401305057096247</v>
      </c>
      <c r="D23" s="344">
        <f>SUM(D6:D9)</f>
        <v>505</v>
      </c>
      <c r="E23" s="345">
        <f>IFERROR(D23/D$22,"-")</f>
        <v>0.59834123222748814</v>
      </c>
      <c r="F23" s="57"/>
      <c r="G23" s="344">
        <f>SUM(G6:G9)</f>
        <v>6191</v>
      </c>
      <c r="H23" s="345">
        <f t="shared" si="2"/>
        <v>0.40588736641972073</v>
      </c>
    </row>
    <row r="24" spans="1:17" ht="18.75" customHeight="1" x14ac:dyDescent="0.15">
      <c r="A24" s="297" t="s">
        <v>57</v>
      </c>
      <c r="B24" s="344">
        <f>SUM(B10:B14)</f>
        <v>3239</v>
      </c>
      <c r="C24" s="345">
        <f t="shared" si="0"/>
        <v>0.35225666122892879</v>
      </c>
      <c r="D24" s="344">
        <f>SUM(D10:D14)</f>
        <v>204</v>
      </c>
      <c r="E24" s="345">
        <f t="shared" ref="E24:E26" si="6">IFERROR(D24/D$22,"-")</f>
        <v>0.24170616113744076</v>
      </c>
      <c r="F24" s="57"/>
      <c r="G24" s="344">
        <f>SUM(G10:G14)</f>
        <v>4881</v>
      </c>
      <c r="H24" s="345">
        <f t="shared" si="2"/>
        <v>0.32000262243493083</v>
      </c>
    </row>
    <row r="25" spans="1:17" ht="18.75" customHeight="1" x14ac:dyDescent="0.15">
      <c r="A25" s="297" t="s">
        <v>58</v>
      </c>
      <c r="B25" s="344">
        <f>SUM(B15:B19)</f>
        <v>1090</v>
      </c>
      <c r="C25" s="345">
        <f t="shared" si="0"/>
        <v>0.11854268624252311</v>
      </c>
      <c r="D25" s="344">
        <f>SUM(D15:D19)</f>
        <v>69</v>
      </c>
      <c r="E25" s="345">
        <f t="shared" si="6"/>
        <v>8.1753554502369666E-2</v>
      </c>
      <c r="F25" s="57"/>
      <c r="G25" s="344">
        <f>SUM(G15:G19)</f>
        <v>1912</v>
      </c>
      <c r="H25" s="345">
        <f t="shared" si="2"/>
        <v>0.12535238969383072</v>
      </c>
    </row>
    <row r="26" spans="1:17" ht="18.75" customHeight="1" x14ac:dyDescent="0.15">
      <c r="A26" s="297" t="s">
        <v>59</v>
      </c>
      <c r="B26" s="344">
        <f>SUM(B20:B21)</f>
        <v>1335</v>
      </c>
      <c r="C26" s="345">
        <f t="shared" si="0"/>
        <v>0.14518760195758565</v>
      </c>
      <c r="D26" s="344">
        <f>SUM(D20:D21)</f>
        <v>66</v>
      </c>
      <c r="E26" s="345">
        <f t="shared" si="6"/>
        <v>7.8199052132701424E-2</v>
      </c>
      <c r="F26" s="57"/>
      <c r="G26" s="344">
        <f>SUM(G20:G21)</f>
        <v>2269</v>
      </c>
      <c r="H26" s="345">
        <f t="shared" si="2"/>
        <v>0.14875762145151775</v>
      </c>
    </row>
    <row r="30" spans="1:17" x14ac:dyDescent="0.15">
      <c r="C30" s="4"/>
    </row>
    <row r="33" spans="1:3" x14ac:dyDescent="0.15">
      <c r="A33" s="142"/>
      <c r="B33" s="33"/>
      <c r="C33" s="33"/>
    </row>
    <row r="34" spans="1:3" x14ac:dyDescent="0.15">
      <c r="A34" s="38"/>
      <c r="B34" s="39"/>
      <c r="C34" s="45"/>
    </row>
    <row r="35" spans="1:3" x14ac:dyDescent="0.15">
      <c r="A35" s="38"/>
      <c r="B35" s="39"/>
      <c r="C35" s="45"/>
    </row>
    <row r="36" spans="1:3" x14ac:dyDescent="0.15">
      <c r="A36" s="38"/>
      <c r="B36" s="39"/>
      <c r="C36" s="45"/>
    </row>
    <row r="37" spans="1:3" ht="13.5" customHeight="1" x14ac:dyDescent="0.15">
      <c r="A37" s="38"/>
      <c r="B37" s="39"/>
      <c r="C37" s="45"/>
    </row>
    <row r="38" spans="1:3" x14ac:dyDescent="0.15">
      <c r="A38" s="38"/>
      <c r="B38" s="39"/>
      <c r="C38" s="45"/>
    </row>
    <row r="39" spans="1:3" x14ac:dyDescent="0.15">
      <c r="A39" s="38"/>
      <c r="B39" s="39"/>
      <c r="C39" s="45"/>
    </row>
    <row r="40" spans="1:3" x14ac:dyDescent="0.15">
      <c r="A40" s="38"/>
      <c r="B40" s="39"/>
      <c r="C40" s="45"/>
    </row>
    <row r="41" spans="1:3" x14ac:dyDescent="0.15">
      <c r="A41" s="38"/>
      <c r="B41" s="39"/>
      <c r="C41" s="45"/>
    </row>
    <row r="42" spans="1:3" x14ac:dyDescent="0.15">
      <c r="A42" s="38"/>
      <c r="B42" s="39"/>
      <c r="C42" s="45"/>
    </row>
    <row r="43" spans="1:3" x14ac:dyDescent="0.15">
      <c r="A43" s="38"/>
      <c r="B43" s="39"/>
      <c r="C43" s="45"/>
    </row>
    <row r="44" spans="1:3" x14ac:dyDescent="0.15">
      <c r="A44" s="38"/>
      <c r="B44" s="39"/>
      <c r="C44" s="45"/>
    </row>
    <row r="45" spans="1:3" x14ac:dyDescent="0.15">
      <c r="A45" s="38"/>
      <c r="B45" s="39"/>
      <c r="C45" s="45"/>
    </row>
    <row r="46" spans="1:3" x14ac:dyDescent="0.15">
      <c r="A46" s="38"/>
      <c r="B46" s="39"/>
      <c r="C46" s="45"/>
    </row>
    <row r="47" spans="1:3" x14ac:dyDescent="0.15">
      <c r="A47" s="38"/>
      <c r="B47" s="39"/>
      <c r="C47" s="45"/>
    </row>
    <row r="48" spans="1:3" x14ac:dyDescent="0.15">
      <c r="A48" s="38"/>
      <c r="B48" s="39"/>
      <c r="C48" s="45"/>
    </row>
    <row r="49" spans="1:3" x14ac:dyDescent="0.15">
      <c r="A49" s="38"/>
      <c r="B49" s="39"/>
      <c r="C49" s="45"/>
    </row>
    <row r="50" spans="1:3" x14ac:dyDescent="0.15">
      <c r="A50" s="38"/>
      <c r="B50" s="39"/>
      <c r="C50" s="45"/>
    </row>
  </sheetData>
  <mergeCells count="5">
    <mergeCell ref="B3:C4"/>
    <mergeCell ref="D3:E3"/>
    <mergeCell ref="D4:E4"/>
    <mergeCell ref="A3:A5"/>
    <mergeCell ref="G3:H4"/>
  </mergeCells>
  <phoneticPr fontId="2"/>
  <printOptions horizontalCentered="1"/>
  <pageMargins left="0.70866141732283472" right="0.70866141732283472" top="0.74803149606299213" bottom="0.74803149606299213" header="0.70866141732283472" footer="0.31496062992125984"/>
  <pageSetup paperSize="11" scale="70" orientation="landscape" r:id="rId1"/>
  <ignoredErrors>
    <ignoredError sqref="D6:D21 E22 C22 C23:C26 H2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データ削除15">
                <anchor moveWithCells="1" sizeWithCells="1">
                  <from>
                    <xdr:col>14</xdr:col>
                    <xdr:colOff>257175</xdr:colOff>
                    <xdr:row>3</xdr:row>
                    <xdr:rowOff>85725</xdr:rowOff>
                  </from>
                  <to>
                    <xdr:col>15</xdr:col>
                    <xdr:colOff>561975</xdr:colOff>
                    <xdr:row>4</xdr:row>
                    <xdr:rowOff>200025</xdr:rowOff>
                  </to>
                </anchor>
              </controlPr>
            </control>
          </mc:Choice>
        </mc:AlternateContent>
      </controls>
    </mc:Choice>
  </mc:AlternateContent>
  <tableParts count="2">
    <tablePart r:id="rId5"/>
    <tablePart r:id="rId6"/>
  </tablePar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C000"/>
    <pageSetUpPr fitToPage="1"/>
  </sheetPr>
  <dimension ref="A1:I36"/>
  <sheetViews>
    <sheetView showGridLines="0" topLeftCell="A13" zoomScaleNormal="100" zoomScaleSheetLayoutView="100" workbookViewId="0">
      <selection activeCell="C25" sqref="C25"/>
    </sheetView>
  </sheetViews>
  <sheetFormatPr defaultRowHeight="18.75" x14ac:dyDescent="0.15"/>
  <cols>
    <col min="1" max="1" width="13.125" style="1" bestFit="1" customWidth="1"/>
    <col min="2" max="3" width="9.375" style="1" customWidth="1"/>
    <col min="4" max="4" width="1.25" style="1" customWidth="1"/>
    <col min="5" max="6" width="9.375" style="1" customWidth="1"/>
    <col min="7" max="7" width="9" style="42" hidden="1" customWidth="1"/>
    <col min="8" max="9" width="9" style="1" hidden="1" customWidth="1"/>
    <col min="10" max="16384" width="9" style="1"/>
  </cols>
  <sheetData>
    <row r="1" spans="1:6" ht="19.5" x14ac:dyDescent="0.15">
      <c r="A1" s="2" t="s">
        <v>221</v>
      </c>
    </row>
    <row r="3" spans="1:6" x14ac:dyDescent="0.15">
      <c r="A3" s="4" t="s">
        <v>222</v>
      </c>
      <c r="B3" s="4"/>
    </row>
    <row r="4" spans="1:6" x14ac:dyDescent="0.35">
      <c r="E4" s="664" t="s">
        <v>105</v>
      </c>
      <c r="F4" s="664"/>
    </row>
    <row r="5" spans="1:6" x14ac:dyDescent="0.15">
      <c r="A5" s="335"/>
      <c r="B5" s="336" t="s">
        <v>0</v>
      </c>
      <c r="C5" s="336" t="s">
        <v>1</v>
      </c>
      <c r="D5" s="143"/>
      <c r="E5" s="336" t="s">
        <v>0</v>
      </c>
      <c r="F5" s="336" t="s">
        <v>1</v>
      </c>
    </row>
    <row r="6" spans="1:6" x14ac:dyDescent="0.15">
      <c r="A6" s="285" t="s">
        <v>28</v>
      </c>
      <c r="B6" s="261">
        <v>151</v>
      </c>
      <c r="C6" s="471">
        <f>IFERROR(B6/B$12,"-")</f>
        <v>1.6421968461120175E-2</v>
      </c>
      <c r="D6" s="145"/>
      <c r="E6" s="286">
        <f>'２-Ⅴ'!B5</f>
        <v>339</v>
      </c>
      <c r="F6" s="471">
        <f>IFERROR(E6/E$12,"-")</f>
        <v>2.2225136038812036E-2</v>
      </c>
    </row>
    <row r="7" spans="1:6" x14ac:dyDescent="0.15">
      <c r="A7" s="285" t="s">
        <v>29</v>
      </c>
      <c r="B7" s="261">
        <v>693</v>
      </c>
      <c r="C7" s="471">
        <f t="shared" ref="C7:C11" si="0">IFERROR(B7/B$12,"-")</f>
        <v>7.5367047308319737E-2</v>
      </c>
      <c r="D7" s="145"/>
      <c r="E7" s="286">
        <f>'２-Ⅴ'!B6</f>
        <v>1427</v>
      </c>
      <c r="F7" s="471">
        <f t="shared" ref="F7:F11" si="1">IFERROR(E7/E$12,"-")</f>
        <v>9.3555366157477213E-2</v>
      </c>
    </row>
    <row r="8" spans="1:6" x14ac:dyDescent="0.15">
      <c r="A8" s="285" t="s">
        <v>30</v>
      </c>
      <c r="B8" s="261">
        <v>1699</v>
      </c>
      <c r="C8" s="471">
        <f t="shared" si="0"/>
        <v>0.18477433387710712</v>
      </c>
      <c r="D8" s="145"/>
      <c r="E8" s="286">
        <f>'２-Ⅴ'!B7</f>
        <v>2869</v>
      </c>
      <c r="F8" s="471">
        <f t="shared" si="1"/>
        <v>0.18809414541401692</v>
      </c>
    </row>
    <row r="9" spans="1:6" x14ac:dyDescent="0.15">
      <c r="A9" s="285" t="s">
        <v>31</v>
      </c>
      <c r="B9" s="261">
        <v>3674</v>
      </c>
      <c r="C9" s="471">
        <f t="shared" si="0"/>
        <v>0.39956498096791737</v>
      </c>
      <c r="D9" s="145"/>
      <c r="E9" s="286">
        <f>'２-Ⅴ'!B8</f>
        <v>6020</v>
      </c>
      <c r="F9" s="471">
        <f t="shared" si="1"/>
        <v>0.39467645709040844</v>
      </c>
    </row>
    <row r="10" spans="1:6" x14ac:dyDescent="0.15">
      <c r="A10" s="285" t="s">
        <v>32</v>
      </c>
      <c r="B10" s="261">
        <v>2576</v>
      </c>
      <c r="C10" s="471">
        <f t="shared" si="0"/>
        <v>0.28015225666122895</v>
      </c>
      <c r="D10" s="145"/>
      <c r="E10" s="286">
        <f>'２-Ⅴ'!B9</f>
        <v>3933</v>
      </c>
      <c r="F10" s="471">
        <f t="shared" si="1"/>
        <v>0.25785091457418213</v>
      </c>
    </row>
    <row r="11" spans="1:6" x14ac:dyDescent="0.15">
      <c r="A11" s="285" t="s">
        <v>33</v>
      </c>
      <c r="B11" s="261">
        <v>402</v>
      </c>
      <c r="C11" s="471">
        <f t="shared" si="0"/>
        <v>4.371941272430669E-2</v>
      </c>
      <c r="D11" s="145"/>
      <c r="E11" s="286">
        <f>'２-Ⅴ'!B10</f>
        <v>665</v>
      </c>
      <c r="F11" s="471">
        <f t="shared" si="1"/>
        <v>4.3597980725103257E-2</v>
      </c>
    </row>
    <row r="12" spans="1:6" x14ac:dyDescent="0.15">
      <c r="A12" s="349" t="s">
        <v>160</v>
      </c>
      <c r="B12" s="355">
        <f>SUM(B6:B11)</f>
        <v>9195</v>
      </c>
      <c r="C12" s="338">
        <f>SUM(C6:C11)</f>
        <v>1.0000000000000002</v>
      </c>
      <c r="D12" s="147"/>
      <c r="E12" s="356">
        <f>SUM(E6:E11)</f>
        <v>15253</v>
      </c>
      <c r="F12" s="338">
        <f>SUM(F6:F11)</f>
        <v>1</v>
      </c>
    </row>
    <row r="13" spans="1:6" x14ac:dyDescent="0.15">
      <c r="D13" s="148"/>
    </row>
    <row r="14" spans="1:6" x14ac:dyDescent="0.15">
      <c r="A14" s="4" t="s">
        <v>223</v>
      </c>
      <c r="D14" s="148"/>
    </row>
    <row r="15" spans="1:6" x14ac:dyDescent="0.35">
      <c r="E15" s="664" t="s">
        <v>105</v>
      </c>
      <c r="F15" s="664"/>
    </row>
    <row r="16" spans="1:6" x14ac:dyDescent="0.15">
      <c r="A16" s="335"/>
      <c r="B16" s="336" t="s">
        <v>0</v>
      </c>
      <c r="C16" s="336" t="s">
        <v>1</v>
      </c>
      <c r="D16" s="143"/>
      <c r="E16" s="336" t="s">
        <v>0</v>
      </c>
      <c r="F16" s="336" t="s">
        <v>1</v>
      </c>
    </row>
    <row r="17" spans="1:6" x14ac:dyDescent="0.15">
      <c r="A17" s="285" t="s">
        <v>28</v>
      </c>
      <c r="B17" s="261">
        <v>37</v>
      </c>
      <c r="C17" s="471">
        <f>IFERROR(B17/B$23,"-")</f>
        <v>6.5324858757062143E-3</v>
      </c>
      <c r="D17" s="145"/>
      <c r="E17" s="286">
        <f>'３-Ⅳ'!B5</f>
        <v>52</v>
      </c>
      <c r="F17" s="471">
        <f>IFERROR(E17/E$23,"-")</f>
        <v>5.7382476274553075E-3</v>
      </c>
    </row>
    <row r="18" spans="1:6" x14ac:dyDescent="0.15">
      <c r="A18" s="285" t="s">
        <v>29</v>
      </c>
      <c r="B18" s="261">
        <v>302</v>
      </c>
      <c r="C18" s="471">
        <f t="shared" ref="C18:C22" si="2">IFERROR(B18/B$23,"-")</f>
        <v>5.3319209039548024E-2</v>
      </c>
      <c r="D18" s="145"/>
      <c r="E18" s="286">
        <f>'３-Ⅳ'!B6</f>
        <v>501</v>
      </c>
      <c r="F18" s="471">
        <f t="shared" ref="F18:F22" si="3">IFERROR(E18/E$23,"-")</f>
        <v>5.528580887221364E-2</v>
      </c>
    </row>
    <row r="19" spans="1:6" x14ac:dyDescent="0.15">
      <c r="A19" s="285" t="s">
        <v>30</v>
      </c>
      <c r="B19" s="261">
        <v>917</v>
      </c>
      <c r="C19" s="471">
        <f t="shared" si="2"/>
        <v>0.1618997175141243</v>
      </c>
      <c r="D19" s="145"/>
      <c r="E19" s="286">
        <f>'３-Ⅳ'!B7</f>
        <v>1423</v>
      </c>
      <c r="F19" s="471">
        <f t="shared" si="3"/>
        <v>0.15702935334363274</v>
      </c>
    </row>
    <row r="20" spans="1:6" x14ac:dyDescent="0.15">
      <c r="A20" s="285" t="s">
        <v>31</v>
      </c>
      <c r="B20" s="261">
        <v>2442</v>
      </c>
      <c r="C20" s="471">
        <f t="shared" si="2"/>
        <v>0.43114406779661019</v>
      </c>
      <c r="D20" s="145"/>
      <c r="E20" s="286">
        <f>'３-Ⅳ'!B8</f>
        <v>3958</v>
      </c>
      <c r="F20" s="471">
        <f t="shared" si="3"/>
        <v>0.43676892518207899</v>
      </c>
    </row>
    <row r="21" spans="1:6" x14ac:dyDescent="0.15">
      <c r="A21" s="285" t="s">
        <v>32</v>
      </c>
      <c r="B21" s="261">
        <v>1674</v>
      </c>
      <c r="C21" s="471">
        <f t="shared" si="2"/>
        <v>0.29555084745762711</v>
      </c>
      <c r="D21" s="145"/>
      <c r="E21" s="286">
        <f>'３-Ⅳ'!B9</f>
        <v>2629</v>
      </c>
      <c r="F21" s="471">
        <f t="shared" si="3"/>
        <v>0.29011255793423085</v>
      </c>
    </row>
    <row r="22" spans="1:6" x14ac:dyDescent="0.15">
      <c r="A22" s="285" t="s">
        <v>33</v>
      </c>
      <c r="B22" s="261">
        <v>292</v>
      </c>
      <c r="C22" s="471">
        <f t="shared" si="2"/>
        <v>5.1553672316384178E-2</v>
      </c>
      <c r="D22" s="145"/>
      <c r="E22" s="286">
        <f>'３-Ⅳ'!B10</f>
        <v>499</v>
      </c>
      <c r="F22" s="471">
        <f t="shared" si="3"/>
        <v>5.5065107040388438E-2</v>
      </c>
    </row>
    <row r="23" spans="1:6" x14ac:dyDescent="0.15">
      <c r="A23" s="349" t="s">
        <v>160</v>
      </c>
      <c r="B23" s="355">
        <f>SUM(B17:B22)</f>
        <v>5664</v>
      </c>
      <c r="C23" s="338">
        <f>SUM(C17:C22)</f>
        <v>1</v>
      </c>
      <c r="D23" s="147"/>
      <c r="E23" s="356">
        <f>SUM(E17:E22)</f>
        <v>9062</v>
      </c>
      <c r="F23" s="338">
        <f>SUM(F17:F22)</f>
        <v>1</v>
      </c>
    </row>
    <row r="27" spans="1:6" x14ac:dyDescent="0.15">
      <c r="C27" s="4"/>
      <c r="D27" s="4"/>
      <c r="E27" s="4"/>
      <c r="F27" s="4"/>
    </row>
    <row r="29" spans="1:6" x14ac:dyDescent="0.15">
      <c r="A29" s="142"/>
      <c r="B29" s="33"/>
      <c r="C29" s="33"/>
      <c r="D29" s="33"/>
      <c r="E29" s="33"/>
      <c r="F29" s="33"/>
    </row>
    <row r="30" spans="1:6" x14ac:dyDescent="0.15">
      <c r="A30" s="38"/>
      <c r="B30" s="39"/>
      <c r="C30" s="36"/>
      <c r="D30" s="36"/>
      <c r="E30" s="36"/>
      <c r="F30" s="36"/>
    </row>
    <row r="31" spans="1:6" x14ac:dyDescent="0.15">
      <c r="A31" s="38"/>
      <c r="B31" s="39"/>
      <c r="C31" s="36"/>
      <c r="D31" s="36"/>
      <c r="E31" s="36"/>
      <c r="F31" s="36"/>
    </row>
    <row r="32" spans="1:6" x14ac:dyDescent="0.15">
      <c r="A32" s="38"/>
      <c r="B32" s="39"/>
      <c r="C32" s="36"/>
      <c r="D32" s="36"/>
      <c r="E32" s="36"/>
      <c r="F32" s="36"/>
    </row>
    <row r="33" spans="1:6" x14ac:dyDescent="0.15">
      <c r="A33" s="38"/>
      <c r="B33" s="39"/>
      <c r="C33" s="36"/>
      <c r="D33" s="36"/>
      <c r="E33" s="36"/>
      <c r="F33" s="36"/>
    </row>
    <row r="34" spans="1:6" x14ac:dyDescent="0.15">
      <c r="A34" s="38"/>
      <c r="B34" s="39"/>
      <c r="C34" s="36"/>
      <c r="D34" s="36"/>
      <c r="E34" s="36"/>
      <c r="F34" s="36"/>
    </row>
    <row r="35" spans="1:6" x14ac:dyDescent="0.15">
      <c r="A35" s="38"/>
      <c r="B35" s="39"/>
      <c r="C35" s="36"/>
      <c r="D35" s="36"/>
      <c r="E35" s="36"/>
      <c r="F35" s="36"/>
    </row>
    <row r="36" spans="1:6" x14ac:dyDescent="0.15">
      <c r="A36" s="38"/>
      <c r="B36" s="39"/>
      <c r="C36" s="36"/>
      <c r="D36" s="36"/>
      <c r="E36" s="36"/>
      <c r="F36" s="36"/>
    </row>
  </sheetData>
  <mergeCells count="2">
    <mergeCell ref="E4:F4"/>
    <mergeCell ref="E15:F15"/>
  </mergeCells>
  <phoneticPr fontId="2"/>
  <printOptions horizontalCentered="1"/>
  <pageMargins left="0.70866141732283472" right="0.70866141732283472" top="0.74803149606299213" bottom="0.74803149606299213" header="0.70866141732283472" footer="0.31496062992125984"/>
  <pageSetup paperSize="11" scale="7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データ削除16">
                <anchor moveWithCells="1" sizeWithCells="1">
                  <from>
                    <xdr:col>6</xdr:col>
                    <xdr:colOff>371475</xdr:colOff>
                    <xdr:row>2</xdr:row>
                    <xdr:rowOff>228600</xdr:rowOff>
                  </from>
                  <to>
                    <xdr:col>8</xdr:col>
                    <xdr:colOff>47625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C000"/>
    <pageSetUpPr fitToPage="1"/>
  </sheetPr>
  <dimension ref="A1:N74"/>
  <sheetViews>
    <sheetView showGridLines="0" topLeftCell="A15" zoomScale="70" zoomScaleNormal="70" zoomScaleSheetLayoutView="90" workbookViewId="0">
      <selection activeCell="K28" sqref="K28"/>
    </sheetView>
  </sheetViews>
  <sheetFormatPr defaultRowHeight="18.75" x14ac:dyDescent="0.15"/>
  <cols>
    <col min="1" max="1" width="37.5" style="1" customWidth="1"/>
    <col min="2" max="5" width="9.375" style="1" customWidth="1"/>
    <col min="6" max="6" width="9" style="1"/>
    <col min="7" max="7" width="37.5" style="1" customWidth="1"/>
    <col min="8" max="11" width="9.375" style="1" customWidth="1"/>
    <col min="12" max="14" width="9" style="1" hidden="1" customWidth="1"/>
    <col min="15" max="16384" width="9" style="1"/>
  </cols>
  <sheetData>
    <row r="1" spans="1:12" ht="19.5" x14ac:dyDescent="0.15">
      <c r="A1" s="2" t="s">
        <v>237</v>
      </c>
    </row>
    <row r="2" spans="1:12" x14ac:dyDescent="0.15">
      <c r="A2" s="4" t="s">
        <v>13</v>
      </c>
      <c r="G2" s="4" t="s">
        <v>113</v>
      </c>
    </row>
    <row r="3" spans="1:12" x14ac:dyDescent="0.35">
      <c r="A3" s="86"/>
      <c r="B3" s="86"/>
      <c r="C3" s="24"/>
      <c r="D3" s="645" t="s">
        <v>105</v>
      </c>
      <c r="E3" s="645"/>
      <c r="G3" s="86"/>
      <c r="H3" s="86"/>
      <c r="I3" s="24"/>
      <c r="J3" s="645" t="s">
        <v>105</v>
      </c>
      <c r="K3" s="645"/>
    </row>
    <row r="4" spans="1:12" x14ac:dyDescent="0.15">
      <c r="A4" s="349"/>
      <c r="B4" s="357" t="s">
        <v>0</v>
      </c>
      <c r="C4" s="358" t="s">
        <v>1</v>
      </c>
      <c r="D4" s="359" t="s">
        <v>0</v>
      </c>
      <c r="E4" s="360" t="s">
        <v>1</v>
      </c>
      <c r="G4" s="349"/>
      <c r="H4" s="357" t="s">
        <v>0</v>
      </c>
      <c r="I4" s="358" t="s">
        <v>1</v>
      </c>
      <c r="J4" s="359" t="s">
        <v>0</v>
      </c>
      <c r="K4" s="360" t="s">
        <v>1</v>
      </c>
      <c r="L4" s="22"/>
    </row>
    <row r="5" spans="1:12" ht="30" x14ac:dyDescent="0.15">
      <c r="A5" s="287" t="s">
        <v>231</v>
      </c>
      <c r="B5" s="288">
        <v>1319</v>
      </c>
      <c r="C5" s="348">
        <f>IFERROR(B5/B$8,"-")</f>
        <v>0.14344752582925502</v>
      </c>
      <c r="D5" s="289">
        <f>'２-Ⅵ'!B5</f>
        <v>2187</v>
      </c>
      <c r="E5" s="348">
        <f>IFERROR(D5/D$8,"-")</f>
        <v>0.14338162984330952</v>
      </c>
      <c r="G5" s="287" t="s">
        <v>231</v>
      </c>
      <c r="H5" s="288">
        <v>388</v>
      </c>
      <c r="I5" s="348">
        <f>IFERROR(H5/H$8,"-")</f>
        <v>0.45971563981042651</v>
      </c>
      <c r="J5" s="289">
        <f>'２-Ⅵ'!H5</f>
        <v>679</v>
      </c>
      <c r="K5" s="348">
        <f>IFERROR(J5/J$8,"-")</f>
        <v>0.38448471121177802</v>
      </c>
    </row>
    <row r="6" spans="1:12" x14ac:dyDescent="0.15">
      <c r="A6" s="290" t="s">
        <v>232</v>
      </c>
      <c r="B6" s="288">
        <v>7031</v>
      </c>
      <c r="C6" s="348">
        <f t="shared" ref="C6:C7" si="0">IFERROR(B6/B$8,"-")</f>
        <v>0.76465470364328436</v>
      </c>
      <c r="D6" s="291">
        <f>'２-Ⅵ'!B6</f>
        <v>11321</v>
      </c>
      <c r="E6" s="348">
        <f t="shared" ref="E6:E7" si="1">IFERROR(D6/D$8,"-")</f>
        <v>0.74221464629908873</v>
      </c>
      <c r="G6" s="290" t="s">
        <v>232</v>
      </c>
      <c r="H6" s="288">
        <v>110</v>
      </c>
      <c r="I6" s="348">
        <f t="shared" ref="I6:I7" si="2">IFERROR(H6/H$8,"-")</f>
        <v>0.13033175355450238</v>
      </c>
      <c r="J6" s="291">
        <f>'２-Ⅵ'!H6</f>
        <v>236</v>
      </c>
      <c r="K6" s="348">
        <f t="shared" ref="K6:K7" si="3">IFERROR(J6/J$8,"-")</f>
        <v>0.13363533408833522</v>
      </c>
    </row>
    <row r="7" spans="1:12" x14ac:dyDescent="0.15">
      <c r="A7" s="290" t="s">
        <v>233</v>
      </c>
      <c r="B7" s="288">
        <v>845</v>
      </c>
      <c r="C7" s="348">
        <f t="shared" si="0"/>
        <v>9.1897770527460579E-2</v>
      </c>
      <c r="D7" s="291">
        <f>'２-Ⅵ'!B7</f>
        <v>1745</v>
      </c>
      <c r="E7" s="348">
        <f t="shared" si="1"/>
        <v>0.11440372385760178</v>
      </c>
      <c r="G7" s="290" t="s">
        <v>233</v>
      </c>
      <c r="H7" s="288">
        <v>346</v>
      </c>
      <c r="I7" s="348">
        <f t="shared" si="2"/>
        <v>0.4099526066350711</v>
      </c>
      <c r="J7" s="291">
        <f>'２-Ⅵ'!H7</f>
        <v>851</v>
      </c>
      <c r="K7" s="348">
        <f t="shared" si="3"/>
        <v>0.48187995469988676</v>
      </c>
    </row>
    <row r="8" spans="1:12" x14ac:dyDescent="0.15">
      <c r="A8" s="361" t="s">
        <v>160</v>
      </c>
      <c r="B8" s="362">
        <f>SUM(B5:B7)</f>
        <v>9195</v>
      </c>
      <c r="C8" s="363">
        <f>SUM(C5:C7)</f>
        <v>1</v>
      </c>
      <c r="D8" s="364">
        <f>SUM(D5:D7)</f>
        <v>15253</v>
      </c>
      <c r="E8" s="363">
        <f>SUM(E5:E7)</f>
        <v>1</v>
      </c>
      <c r="G8" s="361" t="s">
        <v>160</v>
      </c>
      <c r="H8" s="362">
        <f>SUM(H5:H7)</f>
        <v>844</v>
      </c>
      <c r="I8" s="363">
        <f>SUM(I5:I7)</f>
        <v>1</v>
      </c>
      <c r="J8" s="364">
        <f>SUM(J5:J7)</f>
        <v>1766</v>
      </c>
      <c r="K8" s="363">
        <f>SUM(K5:K7)</f>
        <v>1</v>
      </c>
    </row>
    <row r="9" spans="1:12" s="139" customFormat="1" x14ac:dyDescent="0.15">
      <c r="A9" s="136"/>
      <c r="B9" s="137"/>
      <c r="C9" s="138"/>
      <c r="D9" s="137"/>
      <c r="E9" s="138"/>
      <c r="G9" s="136"/>
      <c r="H9" s="137"/>
      <c r="I9" s="138"/>
      <c r="J9" s="137"/>
      <c r="K9" s="138"/>
    </row>
    <row r="10" spans="1:12" x14ac:dyDescent="0.15">
      <c r="A10" s="4" t="s">
        <v>13</v>
      </c>
      <c r="G10" s="4" t="s">
        <v>113</v>
      </c>
    </row>
    <row r="11" spans="1:12" x14ac:dyDescent="0.35">
      <c r="A11" s="86"/>
      <c r="B11" s="86"/>
      <c r="C11" s="24"/>
      <c r="D11" s="645" t="s">
        <v>105</v>
      </c>
      <c r="E11" s="645"/>
      <c r="G11" s="86"/>
      <c r="H11" s="86"/>
      <c r="I11" s="24"/>
      <c r="J11" s="645" t="s">
        <v>105</v>
      </c>
      <c r="K11" s="645"/>
    </row>
    <row r="12" spans="1:12" x14ac:dyDescent="0.15">
      <c r="A12" s="349"/>
      <c r="B12" s="357" t="s">
        <v>0</v>
      </c>
      <c r="C12" s="358" t="s">
        <v>1</v>
      </c>
      <c r="D12" s="359" t="s">
        <v>0</v>
      </c>
      <c r="E12" s="360" t="s">
        <v>1</v>
      </c>
      <c r="G12" s="349"/>
      <c r="H12" s="366" t="s">
        <v>0</v>
      </c>
      <c r="I12" s="367" t="s">
        <v>1</v>
      </c>
      <c r="J12" s="357" t="s">
        <v>0</v>
      </c>
      <c r="K12" s="360" t="s">
        <v>1</v>
      </c>
      <c r="L12" s="22"/>
    </row>
    <row r="13" spans="1:12" x14ac:dyDescent="0.15">
      <c r="A13" s="290" t="s">
        <v>110</v>
      </c>
      <c r="B13" s="288">
        <v>1222</v>
      </c>
      <c r="C13" s="348">
        <f>IFERROR(B13/B$15,"-")</f>
        <v>0.9264594389689158</v>
      </c>
      <c r="D13" s="289">
        <f>'２-Ⅵ'!B14</f>
        <v>1969</v>
      </c>
      <c r="E13" s="348">
        <f>IFERROR(D13/D$15,"-")</f>
        <v>0.90032007315957929</v>
      </c>
      <c r="G13" s="290" t="s">
        <v>110</v>
      </c>
      <c r="H13" s="288">
        <v>342</v>
      </c>
      <c r="I13" s="481">
        <f>IFERROR(H13/H$15,"-")</f>
        <v>0.88144329896907214</v>
      </c>
      <c r="J13" s="288">
        <f>'２-Ⅵ'!H14</f>
        <v>573</v>
      </c>
      <c r="K13" s="348">
        <f>IFERROR(J13/J$15,"-")</f>
        <v>0.8438880706921944</v>
      </c>
    </row>
    <row r="14" spans="1:12" x14ac:dyDescent="0.15">
      <c r="A14" s="290" t="s">
        <v>111</v>
      </c>
      <c r="B14" s="288">
        <v>97</v>
      </c>
      <c r="C14" s="348">
        <f>IFERROR(B14/B$15,"-")</f>
        <v>7.3540561031084153E-2</v>
      </c>
      <c r="D14" s="291">
        <f>'２-Ⅵ'!B15</f>
        <v>218</v>
      </c>
      <c r="E14" s="348">
        <f>IFERROR(D14/D$15,"-")</f>
        <v>9.9679926840420666E-2</v>
      </c>
      <c r="G14" s="290" t="s">
        <v>111</v>
      </c>
      <c r="H14" s="292">
        <v>46</v>
      </c>
      <c r="I14" s="481">
        <f>IFERROR(H14/H$15,"-")</f>
        <v>0.11855670103092783</v>
      </c>
      <c r="J14" s="292">
        <f>'２-Ⅵ'!H15</f>
        <v>106</v>
      </c>
      <c r="K14" s="348">
        <f>IFERROR(J14/J$15,"-")</f>
        <v>0.1561119293078056</v>
      </c>
    </row>
    <row r="15" spans="1:12" x14ac:dyDescent="0.15">
      <c r="A15" s="361" t="s">
        <v>160</v>
      </c>
      <c r="B15" s="362">
        <f>SUM(B13:B14)</f>
        <v>1319</v>
      </c>
      <c r="C15" s="363">
        <f>SUM(C13:C14)</f>
        <v>1</v>
      </c>
      <c r="D15" s="365">
        <f>SUM(D13:D14)</f>
        <v>2187</v>
      </c>
      <c r="E15" s="363">
        <f>SUM(E13:E14)</f>
        <v>1</v>
      </c>
      <c r="G15" s="361" t="s">
        <v>160</v>
      </c>
      <c r="H15" s="362">
        <f>SUM(H13:H14)</f>
        <v>388</v>
      </c>
      <c r="I15" s="368">
        <f>SUM(I13:I14)</f>
        <v>1</v>
      </c>
      <c r="J15" s="362">
        <f>SUM(J13:J14)</f>
        <v>679</v>
      </c>
      <c r="K15" s="351">
        <f>SUM(K13:K14)</f>
        <v>1</v>
      </c>
    </row>
    <row r="17" spans="1:12" ht="24.75" customHeight="1" x14ac:dyDescent="0.15">
      <c r="A17" s="2" t="s">
        <v>55</v>
      </c>
      <c r="G17" s="2"/>
    </row>
    <row r="18" spans="1:12" s="22" customFormat="1" x14ac:dyDescent="0.15">
      <c r="A18" s="665" t="s">
        <v>273</v>
      </c>
      <c r="B18" s="665"/>
      <c r="C18" s="665"/>
      <c r="D18" s="665"/>
      <c r="E18" s="665"/>
      <c r="G18" s="665" t="s">
        <v>273</v>
      </c>
      <c r="H18" s="665"/>
      <c r="I18" s="665"/>
      <c r="J18" s="665"/>
      <c r="K18" s="665"/>
    </row>
    <row r="19" spans="1:12" s="22" customFormat="1" x14ac:dyDescent="0.35">
      <c r="A19" s="86"/>
      <c r="B19" s="86"/>
      <c r="C19" s="24"/>
      <c r="D19" s="664" t="s">
        <v>105</v>
      </c>
      <c r="E19" s="664"/>
      <c r="G19" s="86"/>
      <c r="H19" s="86"/>
      <c r="I19" s="24"/>
      <c r="J19" s="664" t="s">
        <v>105</v>
      </c>
      <c r="K19" s="664"/>
    </row>
    <row r="20" spans="1:12" ht="18" customHeight="1" x14ac:dyDescent="0.15">
      <c r="A20" s="349"/>
      <c r="B20" s="357" t="s">
        <v>0</v>
      </c>
      <c r="C20" s="358" t="s">
        <v>1</v>
      </c>
      <c r="D20" s="359" t="s">
        <v>0</v>
      </c>
      <c r="E20" s="360" t="s">
        <v>1</v>
      </c>
      <c r="G20" s="349"/>
      <c r="H20" s="366" t="s">
        <v>0</v>
      </c>
      <c r="I20" s="367" t="s">
        <v>1</v>
      </c>
      <c r="J20" s="357" t="s">
        <v>0</v>
      </c>
      <c r="K20" s="360" t="s">
        <v>1</v>
      </c>
      <c r="L20" s="22"/>
    </row>
    <row r="21" spans="1:12" ht="28.5" customHeight="1" x14ac:dyDescent="0.15">
      <c r="A21" s="293" t="s">
        <v>243</v>
      </c>
      <c r="B21" s="292">
        <v>409</v>
      </c>
      <c r="C21" s="478">
        <f>IFERROR(B21/B$13,"-")</f>
        <v>0.33469721767594107</v>
      </c>
      <c r="D21" s="294">
        <f>'２-Ⅵ'!B23</f>
        <v>732</v>
      </c>
      <c r="E21" s="347">
        <f>IFERROR(D21/D$13,"-")</f>
        <v>0.37176231589639414</v>
      </c>
      <c r="G21" s="293" t="s">
        <v>238</v>
      </c>
      <c r="H21" s="292">
        <v>91</v>
      </c>
      <c r="I21" s="482">
        <f>IFERROR(H21/H$13,"-")</f>
        <v>0.26608187134502925</v>
      </c>
      <c r="J21" s="292">
        <f>'２-Ⅵ'!H23</f>
        <v>165</v>
      </c>
      <c r="K21" s="347">
        <f>IFERROR(J21/J$13,"-")</f>
        <v>0.2879581151832461</v>
      </c>
    </row>
    <row r="22" spans="1:12" x14ac:dyDescent="0.15">
      <c r="A22" s="295" t="s">
        <v>224</v>
      </c>
      <c r="B22" s="292">
        <v>332</v>
      </c>
      <c r="C22" s="347">
        <f t="shared" ref="C22:C38" si="4">IFERROR(B22/B$13,"-")</f>
        <v>0.27168576104746317</v>
      </c>
      <c r="D22" s="294">
        <f>'２-Ⅵ'!B24</f>
        <v>572</v>
      </c>
      <c r="E22" s="347">
        <f t="shared" ref="E22:E38" si="5">IFERROR(D22/D$13,"-")</f>
        <v>0.29050279329608941</v>
      </c>
      <c r="G22" s="295" t="s">
        <v>224</v>
      </c>
      <c r="H22" s="296">
        <v>64</v>
      </c>
      <c r="I22" s="483">
        <f t="shared" ref="I22:I38" si="6">IFERROR(H22/H$13,"-")</f>
        <v>0.1871345029239766</v>
      </c>
      <c r="J22" s="296">
        <f>'２-Ⅵ'!H24</f>
        <v>118</v>
      </c>
      <c r="K22" s="478">
        <f t="shared" ref="K22:K38" si="7">IFERROR(J22/J$13,"-")</f>
        <v>0.20593368237347295</v>
      </c>
    </row>
    <row r="23" spans="1:12" x14ac:dyDescent="0.15">
      <c r="A23" s="295" t="s">
        <v>38</v>
      </c>
      <c r="B23" s="292">
        <v>43</v>
      </c>
      <c r="C23" s="478">
        <f t="shared" si="4"/>
        <v>3.5188216039279872E-2</v>
      </c>
      <c r="D23" s="294">
        <f>'２-Ⅵ'!B25</f>
        <v>117</v>
      </c>
      <c r="E23" s="347">
        <f t="shared" si="5"/>
        <v>5.9421025901472829E-2</v>
      </c>
      <c r="G23" s="295" t="s">
        <v>38</v>
      </c>
      <c r="H23" s="296">
        <v>6</v>
      </c>
      <c r="I23" s="483">
        <f t="shared" si="6"/>
        <v>1.7543859649122806E-2</v>
      </c>
      <c r="J23" s="296">
        <f>'２-Ⅵ'!H25</f>
        <v>17</v>
      </c>
      <c r="K23" s="478">
        <f t="shared" si="7"/>
        <v>2.9668411867364748E-2</v>
      </c>
    </row>
    <row r="24" spans="1:12" x14ac:dyDescent="0.15">
      <c r="A24" s="295" t="s">
        <v>39</v>
      </c>
      <c r="B24" s="292">
        <v>493</v>
      </c>
      <c r="C24" s="478">
        <f t="shared" si="4"/>
        <v>0.40343698854337151</v>
      </c>
      <c r="D24" s="294">
        <f>'２-Ⅵ'!B26</f>
        <v>727</v>
      </c>
      <c r="E24" s="347">
        <f t="shared" si="5"/>
        <v>0.36922295581513459</v>
      </c>
      <c r="G24" s="295" t="s">
        <v>39</v>
      </c>
      <c r="H24" s="296">
        <v>132</v>
      </c>
      <c r="I24" s="483">
        <f t="shared" si="6"/>
        <v>0.38596491228070173</v>
      </c>
      <c r="J24" s="296">
        <f>'２-Ⅵ'!H26</f>
        <v>200</v>
      </c>
      <c r="K24" s="478">
        <f t="shared" si="7"/>
        <v>0.34904013961605584</v>
      </c>
    </row>
    <row r="25" spans="1:12" x14ac:dyDescent="0.15">
      <c r="A25" s="295" t="s">
        <v>40</v>
      </c>
      <c r="B25" s="292">
        <v>528</v>
      </c>
      <c r="C25" s="478">
        <f t="shared" si="4"/>
        <v>0.43207855973813419</v>
      </c>
      <c r="D25" s="294">
        <f>'２-Ⅵ'!B27</f>
        <v>840</v>
      </c>
      <c r="E25" s="347">
        <f t="shared" si="5"/>
        <v>0.42661249365159981</v>
      </c>
      <c r="G25" s="295" t="s">
        <v>40</v>
      </c>
      <c r="H25" s="296">
        <v>86</v>
      </c>
      <c r="I25" s="483">
        <f t="shared" si="6"/>
        <v>0.25146198830409355</v>
      </c>
      <c r="J25" s="296">
        <f>'２-Ⅵ'!H27</f>
        <v>140</v>
      </c>
      <c r="K25" s="478">
        <f t="shared" si="7"/>
        <v>0.24432809773123909</v>
      </c>
    </row>
    <row r="26" spans="1:12" x14ac:dyDescent="0.15">
      <c r="A26" s="295" t="s">
        <v>41</v>
      </c>
      <c r="B26" s="292">
        <v>368</v>
      </c>
      <c r="C26" s="478">
        <f t="shared" si="4"/>
        <v>0.30114566284779049</v>
      </c>
      <c r="D26" s="294">
        <f>'２-Ⅵ'!B28</f>
        <v>602</v>
      </c>
      <c r="E26" s="347">
        <f t="shared" si="5"/>
        <v>0.30573895378364652</v>
      </c>
      <c r="G26" s="295" t="s">
        <v>41</v>
      </c>
      <c r="H26" s="296">
        <v>93</v>
      </c>
      <c r="I26" s="483">
        <f t="shared" si="6"/>
        <v>0.27192982456140352</v>
      </c>
      <c r="J26" s="296">
        <f>'２-Ⅵ'!H28</f>
        <v>165</v>
      </c>
      <c r="K26" s="478">
        <f t="shared" si="7"/>
        <v>0.2879581151832461</v>
      </c>
    </row>
    <row r="27" spans="1:12" x14ac:dyDescent="0.15">
      <c r="A27" s="295" t="s">
        <v>42</v>
      </c>
      <c r="B27" s="292">
        <v>102</v>
      </c>
      <c r="C27" s="478">
        <f t="shared" si="4"/>
        <v>8.346972176759411E-2</v>
      </c>
      <c r="D27" s="294">
        <f>'２-Ⅵ'!B29</f>
        <v>183</v>
      </c>
      <c r="E27" s="347">
        <f t="shared" si="5"/>
        <v>9.2940578974098534E-2</v>
      </c>
      <c r="G27" s="295" t="s">
        <v>42</v>
      </c>
      <c r="H27" s="296">
        <v>18</v>
      </c>
      <c r="I27" s="483">
        <f t="shared" si="6"/>
        <v>5.2631578947368418E-2</v>
      </c>
      <c r="J27" s="296">
        <f>'２-Ⅵ'!H29</f>
        <v>32</v>
      </c>
      <c r="K27" s="478">
        <f t="shared" si="7"/>
        <v>5.5846422338568937E-2</v>
      </c>
    </row>
    <row r="28" spans="1:12" x14ac:dyDescent="0.15">
      <c r="A28" s="295" t="s">
        <v>43</v>
      </c>
      <c r="B28" s="292">
        <v>397</v>
      </c>
      <c r="C28" s="478">
        <f t="shared" si="4"/>
        <v>0.32487725040916532</v>
      </c>
      <c r="D28" s="294">
        <f>'２-Ⅵ'!B30</f>
        <v>613</v>
      </c>
      <c r="E28" s="347">
        <f t="shared" si="5"/>
        <v>0.31132554596241746</v>
      </c>
      <c r="G28" s="295" t="s">
        <v>43</v>
      </c>
      <c r="H28" s="296">
        <v>70</v>
      </c>
      <c r="I28" s="483">
        <f t="shared" si="6"/>
        <v>0.2046783625730994</v>
      </c>
      <c r="J28" s="296">
        <f>'２-Ⅵ'!H30</f>
        <v>118</v>
      </c>
      <c r="K28" s="478">
        <f t="shared" si="7"/>
        <v>0.20593368237347295</v>
      </c>
    </row>
    <row r="29" spans="1:12" x14ac:dyDescent="0.15">
      <c r="A29" s="295" t="s">
        <v>44</v>
      </c>
      <c r="B29" s="292">
        <v>239</v>
      </c>
      <c r="C29" s="478">
        <f t="shared" si="4"/>
        <v>0.1955810147299509</v>
      </c>
      <c r="D29" s="294">
        <f>'２-Ⅵ'!B31</f>
        <v>367</v>
      </c>
      <c r="E29" s="347">
        <f t="shared" si="5"/>
        <v>0.18638902996444895</v>
      </c>
      <c r="G29" s="295" t="s">
        <v>44</v>
      </c>
      <c r="H29" s="296">
        <v>48</v>
      </c>
      <c r="I29" s="483">
        <f t="shared" si="6"/>
        <v>0.14035087719298245</v>
      </c>
      <c r="J29" s="296">
        <f>'２-Ⅵ'!H31</f>
        <v>95</v>
      </c>
      <c r="K29" s="478">
        <f t="shared" si="7"/>
        <v>0.16579406631762653</v>
      </c>
    </row>
    <row r="30" spans="1:12" x14ac:dyDescent="0.15">
      <c r="A30" s="295" t="s">
        <v>248</v>
      </c>
      <c r="B30" s="292">
        <v>266</v>
      </c>
      <c r="C30" s="478">
        <f t="shared" si="4"/>
        <v>0.21767594108019639</v>
      </c>
      <c r="D30" s="294">
        <f>'２-Ⅵ'!B32</f>
        <v>445</v>
      </c>
      <c r="E30" s="347">
        <f t="shared" si="5"/>
        <v>0.22600304723209752</v>
      </c>
      <c r="G30" s="295" t="s">
        <v>248</v>
      </c>
      <c r="H30" s="296">
        <v>75</v>
      </c>
      <c r="I30" s="483">
        <f t="shared" si="6"/>
        <v>0.21929824561403508</v>
      </c>
      <c r="J30" s="296">
        <f>'２-Ⅵ'!H32</f>
        <v>121</v>
      </c>
      <c r="K30" s="478">
        <f t="shared" si="7"/>
        <v>0.2111692844677138</v>
      </c>
    </row>
    <row r="31" spans="1:12" x14ac:dyDescent="0.15">
      <c r="A31" s="295" t="s">
        <v>46</v>
      </c>
      <c r="B31" s="292">
        <v>468</v>
      </c>
      <c r="C31" s="347">
        <f t="shared" si="4"/>
        <v>0.38297872340425532</v>
      </c>
      <c r="D31" s="294">
        <f>'２-Ⅵ'!B33</f>
        <v>709</v>
      </c>
      <c r="E31" s="347">
        <f t="shared" si="5"/>
        <v>0.36008125952260028</v>
      </c>
      <c r="G31" s="295" t="s">
        <v>46</v>
      </c>
      <c r="H31" s="296">
        <v>141</v>
      </c>
      <c r="I31" s="483">
        <f t="shared" si="6"/>
        <v>0.41228070175438597</v>
      </c>
      <c r="J31" s="296">
        <f>'２-Ⅵ'!H33</f>
        <v>234</v>
      </c>
      <c r="K31" s="478">
        <f t="shared" si="7"/>
        <v>0.40837696335078533</v>
      </c>
    </row>
    <row r="32" spans="1:12" x14ac:dyDescent="0.15">
      <c r="A32" s="295" t="s">
        <v>47</v>
      </c>
      <c r="B32" s="292">
        <v>75</v>
      </c>
      <c r="C32" s="478">
        <f t="shared" si="4"/>
        <v>6.137479541734861E-2</v>
      </c>
      <c r="D32" s="294">
        <f>'２-Ⅵ'!B34</f>
        <v>121</v>
      </c>
      <c r="E32" s="347">
        <f t="shared" si="5"/>
        <v>6.1452513966480445E-2</v>
      </c>
      <c r="G32" s="295" t="s">
        <v>47</v>
      </c>
      <c r="H32" s="296">
        <v>27</v>
      </c>
      <c r="I32" s="483">
        <f t="shared" si="6"/>
        <v>7.8947368421052627E-2</v>
      </c>
      <c r="J32" s="296">
        <f>'２-Ⅵ'!H34</f>
        <v>41</v>
      </c>
      <c r="K32" s="478">
        <f t="shared" si="7"/>
        <v>7.1553228621291445E-2</v>
      </c>
    </row>
    <row r="33" spans="1:11" x14ac:dyDescent="0.15">
      <c r="A33" s="295" t="s">
        <v>48</v>
      </c>
      <c r="B33" s="292">
        <v>63</v>
      </c>
      <c r="C33" s="478">
        <f t="shared" si="4"/>
        <v>5.1554828150572829E-2</v>
      </c>
      <c r="D33" s="294">
        <f>'２-Ⅵ'!B35</f>
        <v>119</v>
      </c>
      <c r="E33" s="347">
        <f t="shared" si="5"/>
        <v>6.043676993397664E-2</v>
      </c>
      <c r="G33" s="295" t="s">
        <v>48</v>
      </c>
      <c r="H33" s="296">
        <v>13</v>
      </c>
      <c r="I33" s="483">
        <f t="shared" si="6"/>
        <v>3.8011695906432746E-2</v>
      </c>
      <c r="J33" s="296">
        <f>'２-Ⅵ'!H35</f>
        <v>26</v>
      </c>
      <c r="K33" s="478">
        <f t="shared" si="7"/>
        <v>4.5375218150087257E-2</v>
      </c>
    </row>
    <row r="34" spans="1:11" x14ac:dyDescent="0.15">
      <c r="A34" s="295" t="s">
        <v>49</v>
      </c>
      <c r="B34" s="292">
        <v>4</v>
      </c>
      <c r="C34" s="478">
        <f t="shared" si="4"/>
        <v>3.2733224222585926E-3</v>
      </c>
      <c r="D34" s="294">
        <f>'２-Ⅵ'!B36</f>
        <v>11</v>
      </c>
      <c r="E34" s="347">
        <f t="shared" si="5"/>
        <v>5.5865921787709499E-3</v>
      </c>
      <c r="G34" s="295" t="s">
        <v>49</v>
      </c>
      <c r="H34" s="296">
        <v>2</v>
      </c>
      <c r="I34" s="483">
        <f t="shared" si="6"/>
        <v>5.8479532163742687E-3</v>
      </c>
      <c r="J34" s="296">
        <f>'２-Ⅵ'!H36</f>
        <v>3</v>
      </c>
      <c r="K34" s="478">
        <f t="shared" si="7"/>
        <v>5.235602094240838E-3</v>
      </c>
    </row>
    <row r="35" spans="1:11" x14ac:dyDescent="0.15">
      <c r="A35" s="295" t="s">
        <v>50</v>
      </c>
      <c r="B35" s="292">
        <v>91</v>
      </c>
      <c r="C35" s="478">
        <f t="shared" si="4"/>
        <v>7.4468085106382975E-2</v>
      </c>
      <c r="D35" s="294">
        <f>'２-Ⅵ'!B37</f>
        <v>165</v>
      </c>
      <c r="E35" s="347">
        <f t="shared" si="5"/>
        <v>8.3798882681564241E-2</v>
      </c>
      <c r="G35" s="295" t="s">
        <v>50</v>
      </c>
      <c r="H35" s="296">
        <v>36</v>
      </c>
      <c r="I35" s="483">
        <f t="shared" si="6"/>
        <v>0.10526315789473684</v>
      </c>
      <c r="J35" s="296">
        <f>'２-Ⅵ'!H37</f>
        <v>60</v>
      </c>
      <c r="K35" s="478">
        <f t="shared" si="7"/>
        <v>0.10471204188481675</v>
      </c>
    </row>
    <row r="36" spans="1:11" x14ac:dyDescent="0.15">
      <c r="A36" s="295" t="s">
        <v>51</v>
      </c>
      <c r="B36" s="292">
        <v>99</v>
      </c>
      <c r="C36" s="478">
        <f t="shared" si="4"/>
        <v>8.1014729950900158E-2</v>
      </c>
      <c r="D36" s="294">
        <f>'２-Ⅵ'!B38</f>
        <v>182</v>
      </c>
      <c r="E36" s="347">
        <f t="shared" si="5"/>
        <v>9.2432706957846625E-2</v>
      </c>
      <c r="G36" s="295" t="s">
        <v>51</v>
      </c>
      <c r="H36" s="296">
        <v>33</v>
      </c>
      <c r="I36" s="483">
        <f t="shared" si="6"/>
        <v>9.6491228070175433E-2</v>
      </c>
      <c r="J36" s="296">
        <f>'２-Ⅵ'!H38</f>
        <v>63</v>
      </c>
      <c r="K36" s="478">
        <f t="shared" si="7"/>
        <v>0.1099476439790576</v>
      </c>
    </row>
    <row r="37" spans="1:11" x14ac:dyDescent="0.15">
      <c r="A37" s="295" t="s">
        <v>247</v>
      </c>
      <c r="B37" s="292">
        <v>17</v>
      </c>
      <c r="C37" s="478">
        <f t="shared" si="4"/>
        <v>1.3911620294599018E-2</v>
      </c>
      <c r="D37" s="294">
        <f>'２-Ⅵ'!B39</f>
        <v>34</v>
      </c>
      <c r="E37" s="347">
        <f t="shared" si="5"/>
        <v>1.7267648552564754E-2</v>
      </c>
      <c r="G37" s="295" t="s">
        <v>247</v>
      </c>
      <c r="H37" s="296">
        <v>2</v>
      </c>
      <c r="I37" s="483">
        <f t="shared" si="6"/>
        <v>5.8479532163742687E-3</v>
      </c>
      <c r="J37" s="296">
        <f>'２-Ⅵ'!H39</f>
        <v>12</v>
      </c>
      <c r="K37" s="478">
        <f t="shared" si="7"/>
        <v>2.0942408376963352E-2</v>
      </c>
    </row>
    <row r="38" spans="1:11" x14ac:dyDescent="0.15">
      <c r="A38" s="295" t="s">
        <v>53</v>
      </c>
      <c r="B38" s="292">
        <v>53</v>
      </c>
      <c r="C38" s="478">
        <f t="shared" si="4"/>
        <v>4.3371522094926347E-2</v>
      </c>
      <c r="D38" s="294">
        <f>'２-Ⅵ'!B40</f>
        <v>111</v>
      </c>
      <c r="E38" s="347">
        <f t="shared" si="5"/>
        <v>5.6373793803961403E-2</v>
      </c>
      <c r="G38" s="295" t="s">
        <v>53</v>
      </c>
      <c r="H38" s="296">
        <v>17</v>
      </c>
      <c r="I38" s="483">
        <f t="shared" si="6"/>
        <v>4.9707602339181284E-2</v>
      </c>
      <c r="J38" s="296">
        <f>'２-Ⅵ'!H40</f>
        <v>38</v>
      </c>
      <c r="K38" s="478">
        <f t="shared" si="7"/>
        <v>6.6317626527050616E-2</v>
      </c>
    </row>
    <row r="39" spans="1:11" x14ac:dyDescent="0.15">
      <c r="A39" s="140"/>
      <c r="B39" s="141"/>
      <c r="C39" s="21"/>
      <c r="D39" s="21"/>
      <c r="E39" s="21"/>
      <c r="G39" s="140"/>
      <c r="H39" s="141"/>
      <c r="I39" s="21"/>
      <c r="J39" s="141"/>
      <c r="K39" s="21"/>
    </row>
    <row r="40" spans="1:11" x14ac:dyDescent="0.15">
      <c r="A40" s="38"/>
      <c r="B40" s="38"/>
      <c r="C40" s="38"/>
      <c r="D40" s="38"/>
      <c r="E40" s="38"/>
      <c r="G40" s="38"/>
    </row>
    <row r="41" spans="1:11" x14ac:dyDescent="0.15">
      <c r="A41" s="38"/>
      <c r="B41" s="38"/>
      <c r="C41" s="38"/>
      <c r="D41" s="38"/>
      <c r="E41" s="38"/>
      <c r="G41" s="38"/>
    </row>
    <row r="42" spans="1:11" x14ac:dyDescent="0.15">
      <c r="A42" s="38"/>
      <c r="B42" s="38"/>
      <c r="C42" s="38"/>
      <c r="D42" s="38"/>
      <c r="E42" s="38"/>
      <c r="G42" s="38"/>
    </row>
    <row r="48" spans="1:11" x14ac:dyDescent="0.15">
      <c r="A48" s="142"/>
      <c r="B48" s="142"/>
      <c r="C48" s="142"/>
      <c r="D48" s="142"/>
      <c r="E48" s="142"/>
      <c r="G48" s="142"/>
      <c r="H48" s="142"/>
      <c r="J48" s="142"/>
    </row>
    <row r="49" spans="1:10" x14ac:dyDescent="0.15">
      <c r="A49" s="38"/>
      <c r="B49" s="23"/>
      <c r="C49" s="23"/>
      <c r="D49" s="23"/>
      <c r="E49" s="23"/>
      <c r="G49" s="38"/>
      <c r="H49" s="23"/>
      <c r="J49" s="23"/>
    </row>
    <row r="50" spans="1:10" x14ac:dyDescent="0.15">
      <c r="A50" s="38"/>
      <c r="B50" s="23"/>
      <c r="C50" s="23"/>
      <c r="D50" s="23"/>
      <c r="E50" s="23"/>
      <c r="G50" s="38"/>
      <c r="H50" s="23"/>
      <c r="J50" s="23"/>
    </row>
    <row r="51" spans="1:10" x14ac:dyDescent="0.15">
      <c r="A51" s="38"/>
      <c r="B51" s="23"/>
      <c r="C51" s="23"/>
      <c r="D51" s="23"/>
      <c r="E51" s="23"/>
      <c r="G51" s="38"/>
      <c r="H51" s="23"/>
      <c r="J51" s="23"/>
    </row>
    <row r="52" spans="1:10" x14ac:dyDescent="0.15">
      <c r="A52" s="38"/>
      <c r="B52" s="23"/>
      <c r="C52" s="23"/>
      <c r="D52" s="23"/>
      <c r="E52" s="23"/>
      <c r="G52" s="38"/>
      <c r="H52" s="23"/>
      <c r="J52" s="23"/>
    </row>
    <row r="53" spans="1:10" x14ac:dyDescent="0.15">
      <c r="A53" s="38"/>
      <c r="B53" s="23"/>
      <c r="C53" s="23"/>
      <c r="D53" s="23"/>
      <c r="E53" s="23"/>
      <c r="G53" s="38"/>
      <c r="H53" s="23"/>
      <c r="J53" s="23"/>
    </row>
    <row r="54" spans="1:10" x14ac:dyDescent="0.15">
      <c r="A54" s="38"/>
      <c r="B54" s="23"/>
      <c r="C54" s="23"/>
      <c r="D54" s="23"/>
      <c r="E54" s="23"/>
      <c r="G54" s="38"/>
      <c r="H54" s="23"/>
      <c r="J54" s="23"/>
    </row>
    <row r="55" spans="1:10" x14ac:dyDescent="0.15">
      <c r="A55" s="38"/>
      <c r="B55" s="23"/>
      <c r="C55" s="23"/>
      <c r="D55" s="23"/>
      <c r="E55" s="23"/>
      <c r="G55" s="38"/>
      <c r="H55" s="23"/>
      <c r="J55" s="23"/>
    </row>
    <row r="56" spans="1:10" x14ac:dyDescent="0.15">
      <c r="A56" s="38"/>
      <c r="B56" s="23"/>
      <c r="C56" s="23"/>
      <c r="D56" s="23"/>
      <c r="E56" s="23"/>
      <c r="G56" s="38"/>
      <c r="H56" s="23"/>
      <c r="J56" s="23"/>
    </row>
    <row r="57" spans="1:10" x14ac:dyDescent="0.15">
      <c r="A57" s="38"/>
      <c r="B57" s="23"/>
      <c r="C57" s="23"/>
      <c r="D57" s="23"/>
      <c r="E57" s="23"/>
      <c r="G57" s="38"/>
      <c r="H57" s="23"/>
      <c r="J57" s="23"/>
    </row>
    <row r="58" spans="1:10" x14ac:dyDescent="0.15">
      <c r="A58" s="38"/>
      <c r="B58" s="23"/>
      <c r="C58" s="23"/>
      <c r="D58" s="23"/>
      <c r="E58" s="23"/>
      <c r="G58" s="38"/>
      <c r="H58" s="23"/>
      <c r="J58" s="23"/>
    </row>
    <row r="59" spans="1:10" x14ac:dyDescent="0.15">
      <c r="A59" s="38"/>
      <c r="B59" s="23"/>
      <c r="C59" s="23"/>
      <c r="D59" s="23"/>
      <c r="E59" s="23"/>
      <c r="G59" s="38"/>
      <c r="H59" s="23"/>
      <c r="J59" s="23"/>
    </row>
    <row r="60" spans="1:10" x14ac:dyDescent="0.15">
      <c r="A60" s="38"/>
      <c r="B60" s="23"/>
      <c r="C60" s="23"/>
      <c r="D60" s="23"/>
      <c r="E60" s="23"/>
      <c r="G60" s="38"/>
      <c r="H60" s="23"/>
      <c r="J60" s="23"/>
    </row>
    <row r="61" spans="1:10" x14ac:dyDescent="0.15">
      <c r="A61" s="38"/>
      <c r="B61" s="23"/>
      <c r="C61" s="23"/>
      <c r="D61" s="23"/>
      <c r="E61" s="23"/>
      <c r="G61" s="38"/>
      <c r="H61" s="23"/>
      <c r="J61" s="23"/>
    </row>
    <row r="62" spans="1:10" x14ac:dyDescent="0.15">
      <c r="A62" s="38"/>
      <c r="B62" s="23"/>
      <c r="C62" s="23"/>
      <c r="D62" s="23"/>
      <c r="E62" s="23"/>
      <c r="G62" s="38"/>
      <c r="H62" s="23"/>
      <c r="J62" s="23"/>
    </row>
    <row r="63" spans="1:10" x14ac:dyDescent="0.15">
      <c r="A63" s="38"/>
      <c r="B63" s="23"/>
      <c r="C63" s="23"/>
      <c r="D63" s="23"/>
      <c r="E63" s="23"/>
      <c r="G63" s="38"/>
      <c r="H63" s="23"/>
      <c r="J63" s="23"/>
    </row>
    <row r="64" spans="1:10" x14ac:dyDescent="0.15">
      <c r="A64" s="38"/>
      <c r="B64" s="23"/>
      <c r="C64" s="23"/>
      <c r="D64" s="23"/>
      <c r="E64" s="23"/>
      <c r="G64" s="38"/>
      <c r="H64" s="23"/>
      <c r="J64" s="23"/>
    </row>
    <row r="65" spans="1:10" x14ac:dyDescent="0.15">
      <c r="A65" s="38"/>
      <c r="B65" s="23"/>
      <c r="C65" s="23"/>
      <c r="D65" s="23"/>
      <c r="E65" s="23"/>
      <c r="G65" s="38"/>
      <c r="H65" s="23"/>
      <c r="J65" s="23"/>
    </row>
    <row r="66" spans="1:10" x14ac:dyDescent="0.15">
      <c r="A66" s="7"/>
      <c r="B66" s="86"/>
      <c r="C66" s="86"/>
      <c r="D66" s="86"/>
      <c r="E66" s="86"/>
      <c r="G66" s="7"/>
      <c r="H66" s="23"/>
      <c r="J66" s="23"/>
    </row>
    <row r="67" spans="1:10" x14ac:dyDescent="0.15">
      <c r="A67" s="7"/>
      <c r="B67" s="86"/>
      <c r="C67" s="86"/>
      <c r="D67" s="86"/>
      <c r="E67" s="86"/>
      <c r="G67" s="7"/>
      <c r="H67" s="86"/>
      <c r="J67" s="86"/>
    </row>
    <row r="68" spans="1:10" x14ac:dyDescent="0.15">
      <c r="A68" s="7"/>
      <c r="B68" s="86"/>
      <c r="C68" s="86"/>
      <c r="D68" s="86"/>
      <c r="E68" s="86"/>
      <c r="G68" s="7"/>
      <c r="H68" s="86"/>
      <c r="J68" s="86"/>
    </row>
    <row r="69" spans="1:10" x14ac:dyDescent="0.15">
      <c r="A69" s="7"/>
      <c r="B69" s="86"/>
      <c r="C69" s="86"/>
      <c r="D69" s="86"/>
      <c r="E69" s="86"/>
      <c r="G69" s="7"/>
      <c r="H69" s="86"/>
      <c r="J69" s="86"/>
    </row>
    <row r="70" spans="1:10" x14ac:dyDescent="0.15">
      <c r="A70" s="7"/>
      <c r="B70" s="86"/>
      <c r="C70" s="86"/>
      <c r="D70" s="86"/>
      <c r="E70" s="86"/>
      <c r="G70" s="7"/>
      <c r="H70" s="23"/>
      <c r="J70" s="23"/>
    </row>
    <row r="71" spans="1:10" x14ac:dyDescent="0.15">
      <c r="A71" s="22"/>
      <c r="B71" s="22"/>
      <c r="C71" s="22"/>
      <c r="D71" s="22"/>
      <c r="E71" s="22"/>
      <c r="G71" s="22"/>
    </row>
    <row r="72" spans="1:10" x14ac:dyDescent="0.15">
      <c r="A72" s="22"/>
      <c r="B72" s="22"/>
      <c r="C72" s="22"/>
      <c r="D72" s="22"/>
      <c r="E72" s="22"/>
      <c r="G72" s="22"/>
    </row>
    <row r="73" spans="1:10" x14ac:dyDescent="0.15">
      <c r="A73" s="22"/>
      <c r="B73" s="22"/>
      <c r="C73" s="22"/>
      <c r="D73" s="22"/>
      <c r="E73" s="22"/>
      <c r="G73" s="22"/>
    </row>
    <row r="74" spans="1:10" x14ac:dyDescent="0.15">
      <c r="A74" s="22"/>
      <c r="B74" s="22"/>
      <c r="C74" s="22"/>
      <c r="D74" s="22"/>
      <c r="E74" s="22"/>
      <c r="G74" s="22"/>
    </row>
  </sheetData>
  <mergeCells count="8">
    <mergeCell ref="D19:E19"/>
    <mergeCell ref="J19:K19"/>
    <mergeCell ref="D3:E3"/>
    <mergeCell ref="J3:K3"/>
    <mergeCell ref="G18:K18"/>
    <mergeCell ref="A18:E18"/>
    <mergeCell ref="D11:E11"/>
    <mergeCell ref="J11:K11"/>
  </mergeCells>
  <phoneticPr fontId="2"/>
  <printOptions horizontalCentered="1"/>
  <pageMargins left="0.70866141732283472" right="0.70866141732283472" top="1.1417322834645669" bottom="0.74803149606299213" header="0.70866141732283472" footer="0.31496062992125984"/>
  <pageSetup paperSize="9" scale="84" fitToHeight="0" orientation="landscape" r:id="rId1"/>
  <rowBreaks count="1" manualBreakCount="1">
    <brk id="16" max="10" man="1"/>
  </rowBreaks>
  <ignoredErrors>
    <ignoredError sqref="D5:D7 D13:D14 D21:D38 J5:J7 J13:J14 J21:J3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データ削除17">
                <anchor moveWithCells="1" sizeWithCells="1">
                  <from>
                    <xdr:col>11</xdr:col>
                    <xdr:colOff>361950</xdr:colOff>
                    <xdr:row>3</xdr:row>
                    <xdr:rowOff>9525</xdr:rowOff>
                  </from>
                  <to>
                    <xdr:col>13</xdr:col>
                    <xdr:colOff>304800</xdr:colOff>
                    <xdr:row>4</xdr:row>
                    <xdr:rowOff>276225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FF0000"/>
    <pageSetUpPr fitToPage="1"/>
  </sheetPr>
  <dimension ref="B1:Q63"/>
  <sheetViews>
    <sheetView showGridLines="0" zoomScale="60" zoomScaleNormal="60" zoomScaleSheetLayoutView="100" workbookViewId="0">
      <selection activeCell="F29" sqref="F29"/>
    </sheetView>
  </sheetViews>
  <sheetFormatPr defaultRowHeight="18.75" x14ac:dyDescent="0.15"/>
  <cols>
    <col min="1" max="1" width="9" style="1"/>
    <col min="2" max="2" width="43.75" style="1" customWidth="1"/>
    <col min="3" max="6" width="9.375" style="1" customWidth="1"/>
    <col min="7" max="7" width="9" style="1" customWidth="1"/>
    <col min="8" max="8" width="56.125" style="1" hidden="1" customWidth="1"/>
    <col min="9" max="10" width="10.875" style="1" hidden="1" customWidth="1"/>
    <col min="11" max="15" width="9" style="1" hidden="1" customWidth="1"/>
    <col min="16" max="16" width="9" style="1" customWidth="1"/>
    <col min="17" max="16384" width="9" style="1"/>
  </cols>
  <sheetData>
    <row r="1" spans="2:17" ht="19.5" customHeight="1" x14ac:dyDescent="0.15">
      <c r="B1" s="2" t="s">
        <v>77</v>
      </c>
      <c r="H1" s="56" t="s">
        <v>63</v>
      </c>
    </row>
    <row r="2" spans="2:17" ht="18.75" customHeight="1" thickBot="1" x14ac:dyDescent="0.2">
      <c r="B2" s="675" t="s">
        <v>240</v>
      </c>
      <c r="C2" s="682" t="s">
        <v>266</v>
      </c>
      <c r="D2" s="683"/>
      <c r="E2" s="683"/>
      <c r="F2" s="684"/>
    </row>
    <row r="3" spans="2:17" ht="18.75" customHeight="1" thickTop="1" thickBot="1" x14ac:dyDescent="0.2">
      <c r="B3" s="676"/>
      <c r="C3" s="685" t="s">
        <v>267</v>
      </c>
      <c r="D3" s="686"/>
      <c r="E3" s="687" t="s">
        <v>265</v>
      </c>
      <c r="F3" s="686"/>
      <c r="G3" s="35" t="s">
        <v>279</v>
      </c>
      <c r="H3" s="502" t="s">
        <v>370</v>
      </c>
      <c r="I3" s="60" t="s">
        <v>307</v>
      </c>
      <c r="J3" s="60" t="s">
        <v>306</v>
      </c>
      <c r="N3" s="43" t="s">
        <v>267</v>
      </c>
      <c r="O3" s="43" t="s">
        <v>265</v>
      </c>
      <c r="Q3" s="43"/>
    </row>
    <row r="4" spans="2:17" ht="38.25" customHeight="1" thickTop="1" x14ac:dyDescent="0.15">
      <c r="B4" s="88" t="s">
        <v>231</v>
      </c>
      <c r="C4" s="385">
        <f>IFERROR(INDEX(退院予定有無×年齢階層[#All],MATCH($M4,退院予定有無×年齢階層[[#All],[行ラベル]],0),MATCH($N$3,退院予定有無×年齢階層[#Headers],0)),0)</f>
        <v>868</v>
      </c>
      <c r="D4" s="206">
        <f>IFERROR(C4/C$7,"-")</f>
        <v>0.14328161109276988</v>
      </c>
      <c r="E4" s="385">
        <f>IFERROR(INDEX(退院予定有無×年齢階層[#All],MATCH($M4,退院予定有無×年齢階層[[#All],[行ラベル]],0),MATCH($O$3,退院予定有無×年齢階層[#Headers],0)),0)</f>
        <v>1319</v>
      </c>
      <c r="F4" s="207">
        <f>IFERROR(E4/E$7,"-")</f>
        <v>0.14344752582925502</v>
      </c>
      <c r="G4" s="40">
        <f>C4+E4</f>
        <v>2187</v>
      </c>
      <c r="H4" s="34">
        <v>98</v>
      </c>
      <c r="I4" s="60">
        <v>7031</v>
      </c>
      <c r="J4" s="60">
        <v>4290</v>
      </c>
      <c r="K4" s="54"/>
      <c r="M4" s="34">
        <v>97</v>
      </c>
    </row>
    <row r="5" spans="2:17" ht="18.75" customHeight="1" x14ac:dyDescent="0.15">
      <c r="B5" s="92" t="s">
        <v>241</v>
      </c>
      <c r="C5" s="208">
        <f>IFERROR(INDEX(退院予定有無×年齢階層[#All],MATCH($M5,退院予定有無×年齢階層[[#All],[行ラベル]],0),MATCH($N$3,退院予定有無×年齢階層[#Headers],0)),0)</f>
        <v>4290</v>
      </c>
      <c r="D5" s="209">
        <f>IFERROR(C5/C$7,"-")</f>
        <v>0.70815450643776823</v>
      </c>
      <c r="E5" s="208">
        <f>IFERROR(INDEX(退院予定有無×年齢階層[#All],MATCH($M5,退院予定有無×年齢階層[[#All],[行ラベル]],0),MATCH($O$3,退院予定有無×年齢階層[#Headers],0)),0)</f>
        <v>7031</v>
      </c>
      <c r="F5" s="210">
        <f>IFERROR(E5/E$7,"-")</f>
        <v>0.76465470364328436</v>
      </c>
      <c r="G5" s="40">
        <f>C5+E5</f>
        <v>11321</v>
      </c>
      <c r="H5" s="34">
        <v>97</v>
      </c>
      <c r="I5" s="60">
        <v>1319</v>
      </c>
      <c r="J5" s="60">
        <v>868</v>
      </c>
      <c r="M5" s="34">
        <v>98</v>
      </c>
    </row>
    <row r="6" spans="2:17" ht="18.75" customHeight="1" x14ac:dyDescent="0.15">
      <c r="B6" s="123" t="s">
        <v>36</v>
      </c>
      <c r="C6" s="208">
        <f>IFERROR(INDEX(退院予定有無×年齢階層[#All],MATCH($M6,退院予定有無×年齢階層[[#All],[行ラベル]],0),MATCH($N$3,退院予定有無×年齢階層[#Headers],0)),0)</f>
        <v>900</v>
      </c>
      <c r="D6" s="212">
        <f>IFERROR(C6/C$7,"-")</f>
        <v>0.14856388246946187</v>
      </c>
      <c r="E6" s="208">
        <f>IFERROR(INDEX(退院予定有無×年齢階層[#All],MATCH($M6,退院予定有無×年齢階層[[#All],[行ラベル]],0),MATCH($O$3,退院予定有無×年齢階層[#Headers],0)),0)</f>
        <v>845</v>
      </c>
      <c r="F6" s="213">
        <f>IFERROR(E6/E$7,"-")</f>
        <v>9.1897770527460579E-2</v>
      </c>
      <c r="G6" s="40">
        <f>C6+E6</f>
        <v>1745</v>
      </c>
      <c r="H6" s="34">
        <v>99</v>
      </c>
      <c r="I6" s="60">
        <v>845</v>
      </c>
      <c r="J6" s="130">
        <v>900</v>
      </c>
      <c r="M6" s="34">
        <v>99</v>
      </c>
    </row>
    <row r="7" spans="2:17" ht="18.75" customHeight="1" x14ac:dyDescent="0.15">
      <c r="B7" s="93" t="s">
        <v>161</v>
      </c>
      <c r="C7" s="214">
        <f t="shared" ref="C7:F7" si="0">SUM(C4:C6)</f>
        <v>6058</v>
      </c>
      <c r="D7" s="215">
        <f t="shared" si="0"/>
        <v>0.99999999999999989</v>
      </c>
      <c r="E7" s="216">
        <f t="shared" si="0"/>
        <v>9195</v>
      </c>
      <c r="F7" s="215">
        <f t="shared" si="0"/>
        <v>1</v>
      </c>
      <c r="G7" s="40">
        <f>C7+E7</f>
        <v>15253</v>
      </c>
      <c r="H7" s="34"/>
      <c r="M7" s="34"/>
    </row>
    <row r="8" spans="2:17" ht="18.75" customHeight="1" thickBot="1" x14ac:dyDescent="0.2">
      <c r="B8" s="97"/>
      <c r="C8" s="217"/>
      <c r="D8" s="218"/>
      <c r="E8" s="219"/>
      <c r="F8" s="218"/>
      <c r="G8" s="40"/>
      <c r="H8" s="34"/>
      <c r="M8" s="34"/>
    </row>
    <row r="9" spans="2:17" ht="18.75" customHeight="1" thickTop="1" thickBot="1" x14ac:dyDescent="0.2">
      <c r="B9" s="131" t="s">
        <v>239</v>
      </c>
      <c r="C9" s="220"/>
      <c r="D9" s="221"/>
      <c r="E9" s="221"/>
      <c r="F9" s="222"/>
      <c r="G9" s="40"/>
      <c r="H9" s="502" t="s">
        <v>370</v>
      </c>
      <c r="I9" s="377" t="s">
        <v>307</v>
      </c>
      <c r="J9" s="377" t="s">
        <v>306</v>
      </c>
    </row>
    <row r="10" spans="2:17" ht="18.75" customHeight="1" thickTop="1" x14ac:dyDescent="0.15">
      <c r="B10" s="102" t="s">
        <v>34</v>
      </c>
      <c r="C10" s="205">
        <f>IFERROR(INDEX(阻害要因有無×年齢階層[#All],MATCH($M10,阻害要因有無×年齢階層[[#All],[行ラベル]],0),MATCH($N$3,阻害要因有無×年齢階層[#Headers],0)),0)</f>
        <v>747</v>
      </c>
      <c r="D10" s="207">
        <f>IFERROR(C10/C$4,"-")</f>
        <v>0.86059907834101379</v>
      </c>
      <c r="E10" s="205">
        <f>IFERROR(INDEX(阻害要因有無×年齢階層[#All],MATCH($M10,阻害要因有無×年齢階層[[#All],[行ラベル]],0),MATCH($O$3,阻害要因有無×年齢階層[#Headers],0)),0)</f>
        <v>1222</v>
      </c>
      <c r="F10" s="207">
        <f>IFERROR(E10/E$4,"-")</f>
        <v>0.9264594389689158</v>
      </c>
      <c r="G10" s="40">
        <f>C10+E10</f>
        <v>1969</v>
      </c>
      <c r="H10" s="34">
        <v>91</v>
      </c>
      <c r="I10" s="60">
        <v>1222</v>
      </c>
      <c r="J10" s="60">
        <v>747</v>
      </c>
      <c r="K10" s="54"/>
      <c r="M10" s="34">
        <v>91</v>
      </c>
    </row>
    <row r="11" spans="2:17" ht="18.75" customHeight="1" x14ac:dyDescent="0.15">
      <c r="B11" s="92" t="s">
        <v>35</v>
      </c>
      <c r="C11" s="208">
        <f>IFERROR(INDEX(阻害要因有無×年齢階層[#All],MATCH($M11,阻害要因有無×年齢階層[[#All],[行ラベル]],0),MATCH($N$3,阻害要因有無×年齢階層[#Headers],0)),0)</f>
        <v>121</v>
      </c>
      <c r="D11" s="209">
        <f>IFERROR(C11/C$4,"-")</f>
        <v>0.13940092165898618</v>
      </c>
      <c r="E11" s="208">
        <f>IFERROR(INDEX(阻害要因有無×年齢階層[#All],MATCH($M11,阻害要因有無×年齢階層[[#All],[行ラベル]],0),MATCH($O$3,阻害要因有無×年齢階層[#Headers],0)),0)</f>
        <v>97</v>
      </c>
      <c r="F11" s="209">
        <f>IFERROR(E11/E$4,"-")</f>
        <v>7.3540561031084153E-2</v>
      </c>
      <c r="G11" s="40">
        <f>C11+E11</f>
        <v>218</v>
      </c>
      <c r="H11" s="34">
        <v>90</v>
      </c>
      <c r="I11" s="60">
        <v>97</v>
      </c>
      <c r="J11" s="60">
        <v>121</v>
      </c>
      <c r="M11" s="34">
        <v>90</v>
      </c>
    </row>
    <row r="12" spans="2:17" ht="18.75" customHeight="1" thickBot="1" x14ac:dyDescent="0.2">
      <c r="B12" s="103" t="s">
        <v>263</v>
      </c>
      <c r="C12" s="672"/>
      <c r="D12" s="673"/>
      <c r="E12" s="673"/>
      <c r="F12" s="674"/>
      <c r="G12" s="40"/>
      <c r="H12" s="39"/>
      <c r="K12" s="53"/>
    </row>
    <row r="13" spans="2:17" ht="18.75" customHeight="1" thickTop="1" thickBot="1" x14ac:dyDescent="0.2">
      <c r="B13" s="666" t="s">
        <v>274</v>
      </c>
      <c r="C13" s="667"/>
      <c r="D13" s="667"/>
      <c r="E13" s="667"/>
      <c r="F13" s="668"/>
      <c r="G13" s="40"/>
      <c r="H13" s="502" t="s">
        <v>585</v>
      </c>
      <c r="I13" s="377" t="s">
        <v>307</v>
      </c>
      <c r="J13" s="377" t="s">
        <v>306</v>
      </c>
    </row>
    <row r="14" spans="2:17" ht="37.5" customHeight="1" thickTop="1" x14ac:dyDescent="0.15">
      <c r="B14" s="132" t="s">
        <v>235</v>
      </c>
      <c r="C14" s="223">
        <f>IFERROR(INDEX(阻害要因×年齢階層[#All],MATCH($M14,阻害要因×年齢階層[[#All],[値]],0),MATCH($N$3,阻害要因×年齢階層[#Headers],0)),0)</f>
        <v>74</v>
      </c>
      <c r="D14" s="224">
        <f t="shared" ref="D14:D31" si="1">IFERROR(C14/C$10,"-")</f>
        <v>9.906291834002677E-2</v>
      </c>
      <c r="E14" s="223">
        <f>IFERROR(INDEX(阻害要因×年齢階層[#All],MATCH($M14,阻害要因×年齢階層[[#All],[値]],0),MATCH($O$3,阻害要因×年齢階層[#Headers],0)),0)</f>
        <v>91</v>
      </c>
      <c r="F14" s="224">
        <f t="shared" ref="F14:F31" si="2">IFERROR(E14/E$10,"-")</f>
        <v>7.4468085106382975E-2</v>
      </c>
      <c r="G14" s="40">
        <f>SUM(C14,E14)</f>
        <v>165</v>
      </c>
      <c r="H14" s="56" t="s">
        <v>309</v>
      </c>
      <c r="I14" s="60">
        <v>91</v>
      </c>
      <c r="J14" s="60">
        <v>74</v>
      </c>
      <c r="K14" s="54"/>
      <c r="M14" s="405" t="s">
        <v>309</v>
      </c>
    </row>
    <row r="15" spans="2:17" ht="18.75" customHeight="1" x14ac:dyDescent="0.15">
      <c r="B15" s="133" t="s">
        <v>66</v>
      </c>
      <c r="C15" s="208">
        <f>IFERROR(INDEX(阻害要因×年齢階層[#All],MATCH($M15,阻害要因×年齢階層[[#All],[値]],0),MATCH($N$3,阻害要因×年齢階層[#Headers],0)),0)</f>
        <v>54</v>
      </c>
      <c r="D15" s="225">
        <f t="shared" si="1"/>
        <v>7.2289156626506021E-2</v>
      </c>
      <c r="E15" s="208">
        <f>IFERROR(INDEX(阻害要因×年齢階層[#All],MATCH($M15,阻害要因×年齢階層[[#All],[値]],0),MATCH($O$3,阻害要因×年齢階層[#Headers],0)),0)</f>
        <v>64</v>
      </c>
      <c r="F15" s="225">
        <f t="shared" si="2"/>
        <v>5.2373158756137482E-2</v>
      </c>
      <c r="G15" s="40">
        <f t="shared" ref="G15:G31" si="3">SUM(C15,E15)</f>
        <v>118</v>
      </c>
      <c r="H15" s="56" t="s">
        <v>310</v>
      </c>
      <c r="I15" s="60">
        <v>64</v>
      </c>
      <c r="J15" s="60">
        <v>54</v>
      </c>
      <c r="M15" s="405" t="s">
        <v>310</v>
      </c>
    </row>
    <row r="16" spans="2:17" ht="18.75" customHeight="1" x14ac:dyDescent="0.15">
      <c r="B16" s="133" t="s">
        <v>38</v>
      </c>
      <c r="C16" s="208">
        <f>IFERROR(INDEX(阻害要因×年齢階層[#All],MATCH($M16,阻害要因×年齢階層[[#All],[値]],0),MATCH($N$3,阻害要因×年齢階層[#Headers],0)),0)</f>
        <v>11</v>
      </c>
      <c r="D16" s="225">
        <f t="shared" si="1"/>
        <v>1.4725568942436412E-2</v>
      </c>
      <c r="E16" s="208">
        <f>IFERROR(INDEX(阻害要因×年齢階層[#All],MATCH($M16,阻害要因×年齢階層[[#All],[値]],0),MATCH($O$3,阻害要因×年齢階層[#Headers],0)),0)</f>
        <v>6</v>
      </c>
      <c r="F16" s="225">
        <f t="shared" si="2"/>
        <v>4.9099836333878887E-3</v>
      </c>
      <c r="G16" s="40">
        <f t="shared" si="3"/>
        <v>17</v>
      </c>
      <c r="H16" s="56" t="s">
        <v>166</v>
      </c>
      <c r="I16" s="60">
        <v>6</v>
      </c>
      <c r="J16" s="60">
        <v>11</v>
      </c>
      <c r="L16" s="23"/>
      <c r="M16" s="56" t="s">
        <v>166</v>
      </c>
    </row>
    <row r="17" spans="2:13" ht="18.75" customHeight="1" x14ac:dyDescent="0.15">
      <c r="B17" s="133" t="s">
        <v>39</v>
      </c>
      <c r="C17" s="208">
        <f>IFERROR(INDEX(阻害要因×年齢階層[#All],MATCH($M17,阻害要因×年齢階層[[#All],[値]],0),MATCH($N$3,阻害要因×年齢階層[#Headers],0)),0)</f>
        <v>68</v>
      </c>
      <c r="D17" s="209">
        <f t="shared" si="1"/>
        <v>9.1030789825970543E-2</v>
      </c>
      <c r="E17" s="208">
        <f>IFERROR(INDEX(阻害要因×年齢階層[#All],MATCH($M17,阻害要因×年齢階層[[#All],[値]],0),MATCH($O$3,阻害要因×年齢階層[#Headers],0)),0)</f>
        <v>132</v>
      </c>
      <c r="F17" s="209">
        <f t="shared" si="2"/>
        <v>0.10801963993453355</v>
      </c>
      <c r="G17" s="40">
        <f t="shared" si="3"/>
        <v>200</v>
      </c>
      <c r="H17" s="56" t="s">
        <v>167</v>
      </c>
      <c r="I17" s="60">
        <v>132</v>
      </c>
      <c r="J17" s="60">
        <v>68</v>
      </c>
      <c r="L17" s="23"/>
      <c r="M17" s="56" t="s">
        <v>167</v>
      </c>
    </row>
    <row r="18" spans="2:13" ht="18.75" customHeight="1" x14ac:dyDescent="0.15">
      <c r="B18" s="133" t="s">
        <v>40</v>
      </c>
      <c r="C18" s="208">
        <f>IFERROR(INDEX(阻害要因×年齢階層[#All],MATCH($M18,阻害要因×年齢階層[[#All],[値]],0),MATCH($N$3,阻害要因×年齢階層[#Headers],0)),0)</f>
        <v>54</v>
      </c>
      <c r="D18" s="209">
        <f t="shared" si="1"/>
        <v>7.2289156626506021E-2</v>
      </c>
      <c r="E18" s="208">
        <f>IFERROR(INDEX(阻害要因×年齢階層[#All],MATCH($M18,阻害要因×年齢階層[[#All],[値]],0),MATCH($O$3,阻害要因×年齢階層[#Headers],0)),0)</f>
        <v>86</v>
      </c>
      <c r="F18" s="209">
        <f t="shared" si="2"/>
        <v>7.0376432078559745E-2</v>
      </c>
      <c r="G18" s="40">
        <f t="shared" si="3"/>
        <v>140</v>
      </c>
      <c r="H18" s="56" t="s">
        <v>168</v>
      </c>
      <c r="I18" s="60">
        <v>86</v>
      </c>
      <c r="J18" s="60">
        <v>54</v>
      </c>
      <c r="L18" s="23"/>
      <c r="M18" s="56" t="s">
        <v>168</v>
      </c>
    </row>
    <row r="19" spans="2:13" ht="18.75" customHeight="1" x14ac:dyDescent="0.15">
      <c r="B19" s="133" t="s">
        <v>41</v>
      </c>
      <c r="C19" s="208">
        <f>IFERROR(INDEX(阻害要因×年齢階層[#All],MATCH($M19,阻害要因×年齢階層[[#All],[値]],0),MATCH($N$3,阻害要因×年齢階層[#Headers],0)),0)</f>
        <v>72</v>
      </c>
      <c r="D19" s="212">
        <f t="shared" si="1"/>
        <v>9.6385542168674704E-2</v>
      </c>
      <c r="E19" s="208">
        <f>IFERROR(INDEX(阻害要因×年齢階層[#All],MATCH($M19,阻害要因×年齢階層[[#All],[値]],0),MATCH($O$3,阻害要因×年齢階層[#Headers],0)),0)</f>
        <v>93</v>
      </c>
      <c r="F19" s="212">
        <f t="shared" si="2"/>
        <v>7.6104746317512281E-2</v>
      </c>
      <c r="G19" s="40">
        <f t="shared" si="3"/>
        <v>165</v>
      </c>
      <c r="H19" s="56" t="s">
        <v>169</v>
      </c>
      <c r="I19" s="60">
        <v>93</v>
      </c>
      <c r="J19" s="60">
        <v>72</v>
      </c>
      <c r="M19" s="56" t="s">
        <v>169</v>
      </c>
    </row>
    <row r="20" spans="2:13" ht="18.75" customHeight="1" x14ac:dyDescent="0.15">
      <c r="B20" s="133" t="s">
        <v>42</v>
      </c>
      <c r="C20" s="208">
        <f>IFERROR(INDEX(阻害要因×年齢階層[#All],MATCH($M20,阻害要因×年齢階層[[#All],[値]],0),MATCH($N$3,阻害要因×年齢階層[#Headers],0)),0)</f>
        <v>14</v>
      </c>
      <c r="D20" s="209">
        <f t="shared" si="1"/>
        <v>1.8741633199464525E-2</v>
      </c>
      <c r="E20" s="208">
        <f>IFERROR(INDEX(阻害要因×年齢階層[#All],MATCH($M20,阻害要因×年齢階層[[#All],[値]],0),MATCH($O$3,阻害要因×年齢階層[#Headers],0)),0)</f>
        <v>18</v>
      </c>
      <c r="F20" s="209">
        <f t="shared" si="2"/>
        <v>1.4729950900163666E-2</v>
      </c>
      <c r="G20" s="40">
        <f t="shared" si="3"/>
        <v>32</v>
      </c>
      <c r="H20" s="56" t="s">
        <v>170</v>
      </c>
      <c r="I20" s="60">
        <v>18</v>
      </c>
      <c r="J20" s="60">
        <v>14</v>
      </c>
      <c r="M20" s="56" t="s">
        <v>170</v>
      </c>
    </row>
    <row r="21" spans="2:13" ht="18.75" customHeight="1" x14ac:dyDescent="0.15">
      <c r="B21" s="133" t="s">
        <v>43</v>
      </c>
      <c r="C21" s="208">
        <f>IFERROR(INDEX(阻害要因×年齢階層[#All],MATCH($M21,阻害要因×年齢階層[[#All],[値]],0),MATCH($N$3,阻害要因×年齢階層[#Headers],0)),0)</f>
        <v>48</v>
      </c>
      <c r="D21" s="209">
        <f t="shared" si="1"/>
        <v>6.4257028112449793E-2</v>
      </c>
      <c r="E21" s="208">
        <f>IFERROR(INDEX(阻害要因×年齢階層[#All],MATCH($M21,阻害要因×年齢階層[[#All],[値]],0),MATCH($O$3,阻害要因×年齢階層[#Headers],0)),0)</f>
        <v>70</v>
      </c>
      <c r="F21" s="209">
        <f t="shared" si="2"/>
        <v>5.7283142389525366E-2</v>
      </c>
      <c r="G21" s="40">
        <f t="shared" si="3"/>
        <v>118</v>
      </c>
      <c r="H21" s="56" t="s">
        <v>171</v>
      </c>
      <c r="I21" s="60">
        <v>70</v>
      </c>
      <c r="J21" s="60">
        <v>48</v>
      </c>
      <c r="M21" s="56" t="s">
        <v>171</v>
      </c>
    </row>
    <row r="22" spans="2:13" ht="18.75" customHeight="1" x14ac:dyDescent="0.15">
      <c r="B22" s="133" t="s">
        <v>44</v>
      </c>
      <c r="C22" s="208">
        <f>IFERROR(INDEX(阻害要因×年齢階層[#All],MATCH($M22,阻害要因×年齢階層[[#All],[値]],0),MATCH($N$3,阻害要因×年齢階層[#Headers],0)),0)</f>
        <v>47</v>
      </c>
      <c r="D22" s="209">
        <f t="shared" si="1"/>
        <v>6.2918340026773767E-2</v>
      </c>
      <c r="E22" s="208">
        <f>IFERROR(INDEX(阻害要因×年齢階層[#All],MATCH($M22,阻害要因×年齢階層[[#All],[値]],0),MATCH($O$3,阻害要因×年齢階層[#Headers],0)),0)</f>
        <v>48</v>
      </c>
      <c r="F22" s="209">
        <f t="shared" si="2"/>
        <v>3.927986906710311E-2</v>
      </c>
      <c r="G22" s="40">
        <f t="shared" si="3"/>
        <v>95</v>
      </c>
      <c r="H22" s="56" t="s">
        <v>172</v>
      </c>
      <c r="I22" s="60">
        <v>48</v>
      </c>
      <c r="J22" s="60">
        <v>47</v>
      </c>
      <c r="M22" s="56" t="s">
        <v>172</v>
      </c>
    </row>
    <row r="23" spans="2:13" ht="18.75" customHeight="1" x14ac:dyDescent="0.15">
      <c r="B23" s="133" t="s">
        <v>45</v>
      </c>
      <c r="C23" s="208">
        <f>IFERROR(INDEX(阻害要因×年齢階層[#All],MATCH($M23,阻害要因×年齢階層[[#All],[値]],0),MATCH($N$3,阻害要因×年齢階層[#Headers],0)),0)</f>
        <v>46</v>
      </c>
      <c r="D23" s="209">
        <f t="shared" si="1"/>
        <v>6.1579651941097727E-2</v>
      </c>
      <c r="E23" s="208">
        <f>IFERROR(INDEX(阻害要因×年齢階層[#All],MATCH($M23,阻害要因×年齢階層[[#All],[値]],0),MATCH($O$3,阻害要因×年齢階層[#Headers],0)),0)</f>
        <v>75</v>
      </c>
      <c r="F23" s="209">
        <f t="shared" si="2"/>
        <v>6.137479541734861E-2</v>
      </c>
      <c r="G23" s="40">
        <f t="shared" si="3"/>
        <v>121</v>
      </c>
      <c r="H23" s="56" t="s">
        <v>173</v>
      </c>
      <c r="I23" s="60">
        <v>75</v>
      </c>
      <c r="J23" s="60">
        <v>46</v>
      </c>
      <c r="M23" s="56" t="s">
        <v>173</v>
      </c>
    </row>
    <row r="24" spans="2:13" ht="18.75" customHeight="1" x14ac:dyDescent="0.15">
      <c r="B24" s="133" t="s">
        <v>46</v>
      </c>
      <c r="C24" s="208">
        <f>IFERROR(INDEX(阻害要因×年齢階層[#All],MATCH($M24,阻害要因×年齢階層[[#All],[値]],0),MATCH($N$3,阻害要因×年齢階層[#Headers],0)),0)</f>
        <v>93</v>
      </c>
      <c r="D24" s="209">
        <f t="shared" si="1"/>
        <v>0.12449799196787148</v>
      </c>
      <c r="E24" s="208">
        <f>IFERROR(INDEX(阻害要因×年齢階層[#All],MATCH($M24,阻害要因×年齢階層[[#All],[値]],0),MATCH($O$3,阻害要因×年齢階層[#Headers],0)),0)</f>
        <v>141</v>
      </c>
      <c r="F24" s="209">
        <f t="shared" si="2"/>
        <v>0.11538461538461539</v>
      </c>
      <c r="G24" s="40">
        <f t="shared" si="3"/>
        <v>234</v>
      </c>
      <c r="H24" s="56" t="s">
        <v>174</v>
      </c>
      <c r="I24" s="60">
        <v>141</v>
      </c>
      <c r="J24" s="60">
        <v>93</v>
      </c>
      <c r="M24" s="56" t="s">
        <v>174</v>
      </c>
    </row>
    <row r="25" spans="2:13" ht="18.75" customHeight="1" x14ac:dyDescent="0.15">
      <c r="B25" s="133" t="s">
        <v>47</v>
      </c>
      <c r="C25" s="208">
        <f>IFERROR(INDEX(阻害要因×年齢階層[#All],MATCH($M25,阻害要因×年齢階層[[#All],[値]],0),MATCH($N$3,阻害要因×年齢階層[#Headers],0)),0)</f>
        <v>14</v>
      </c>
      <c r="D25" s="209">
        <f t="shared" si="1"/>
        <v>1.8741633199464525E-2</v>
      </c>
      <c r="E25" s="208">
        <f>IFERROR(INDEX(阻害要因×年齢階層[#All],MATCH($M25,阻害要因×年齢階層[[#All],[値]],0),MATCH($O$3,阻害要因×年齢階層[#Headers],0)),0)</f>
        <v>27</v>
      </c>
      <c r="F25" s="209">
        <f t="shared" si="2"/>
        <v>2.20949263502455E-2</v>
      </c>
      <c r="G25" s="40">
        <f t="shared" si="3"/>
        <v>41</v>
      </c>
      <c r="H25" s="56" t="s">
        <v>175</v>
      </c>
      <c r="I25" s="60">
        <v>27</v>
      </c>
      <c r="J25" s="60">
        <v>14</v>
      </c>
      <c r="M25" s="56" t="s">
        <v>175</v>
      </c>
    </row>
    <row r="26" spans="2:13" ht="18.75" customHeight="1" x14ac:dyDescent="0.15">
      <c r="B26" s="133" t="s">
        <v>48</v>
      </c>
      <c r="C26" s="208">
        <f>IFERROR(INDEX(阻害要因×年齢階層[#All],MATCH($M26,阻害要因×年齢階層[[#All],[値]],0),MATCH($N$3,阻害要因×年齢階層[#Headers],0)),0)</f>
        <v>13</v>
      </c>
      <c r="D26" s="209">
        <f t="shared" si="1"/>
        <v>1.7402945113788489E-2</v>
      </c>
      <c r="E26" s="208">
        <f>IFERROR(INDEX(阻害要因×年齢階層[#All],MATCH($M26,阻害要因×年齢階層[[#All],[値]],0),MATCH($O$3,阻害要因×年齢階層[#Headers],0)),0)</f>
        <v>13</v>
      </c>
      <c r="F26" s="209">
        <f t="shared" si="2"/>
        <v>1.0638297872340425E-2</v>
      </c>
      <c r="G26" s="40">
        <f t="shared" si="3"/>
        <v>26</v>
      </c>
      <c r="H26" s="56" t="s">
        <v>176</v>
      </c>
      <c r="I26" s="60">
        <v>13</v>
      </c>
      <c r="J26" s="60">
        <v>13</v>
      </c>
      <c r="M26" s="56" t="s">
        <v>176</v>
      </c>
    </row>
    <row r="27" spans="2:13" ht="18.75" customHeight="1" x14ac:dyDescent="0.15">
      <c r="B27" s="133" t="s">
        <v>49</v>
      </c>
      <c r="C27" s="208">
        <f>IFERROR(INDEX(阻害要因×年齢階層[#All],MATCH($M27,阻害要因×年齢階層[[#All],[値]],0),MATCH($N$3,阻害要因×年齢階層[#Headers],0)),0)</f>
        <v>1</v>
      </c>
      <c r="D27" s="225">
        <f t="shared" si="1"/>
        <v>1.3386880856760374E-3</v>
      </c>
      <c r="E27" s="208">
        <f>IFERROR(INDEX(阻害要因×年齢階層[#All],MATCH($M27,阻害要因×年齢階層[[#All],[値]],0),MATCH($O$3,阻害要因×年齢階層[#Headers],0)),0)</f>
        <v>2</v>
      </c>
      <c r="F27" s="225">
        <f t="shared" si="2"/>
        <v>1.6366612111292963E-3</v>
      </c>
      <c r="G27" s="40">
        <f t="shared" si="3"/>
        <v>3</v>
      </c>
      <c r="H27" s="56" t="s">
        <v>177</v>
      </c>
      <c r="I27" s="60">
        <v>2</v>
      </c>
      <c r="J27" s="60">
        <v>1</v>
      </c>
      <c r="M27" s="56" t="s">
        <v>177</v>
      </c>
    </row>
    <row r="28" spans="2:13" ht="18.75" customHeight="1" x14ac:dyDescent="0.15">
      <c r="B28" s="133" t="s">
        <v>50</v>
      </c>
      <c r="C28" s="208">
        <f>IFERROR(INDEX(阻害要因×年齢階層[#All],MATCH($M28,阻害要因×年齢階層[[#All],[値]],0),MATCH($N$3,阻害要因×年齢階層[#Headers],0)),0)</f>
        <v>24</v>
      </c>
      <c r="D28" s="209">
        <f t="shared" si="1"/>
        <v>3.2128514056224897E-2</v>
      </c>
      <c r="E28" s="208">
        <f>IFERROR(INDEX(阻害要因×年齢階層[#All],MATCH($M28,阻害要因×年齢階層[[#All],[値]],0),MATCH($O$3,阻害要因×年齢階層[#Headers],0)),0)</f>
        <v>36</v>
      </c>
      <c r="F28" s="209">
        <f t="shared" si="2"/>
        <v>2.9459901800327332E-2</v>
      </c>
      <c r="G28" s="40">
        <f t="shared" si="3"/>
        <v>60</v>
      </c>
      <c r="H28" s="56" t="s">
        <v>178</v>
      </c>
      <c r="I28" s="60">
        <v>36</v>
      </c>
      <c r="J28" s="60">
        <v>24</v>
      </c>
      <c r="M28" s="56" t="s">
        <v>178</v>
      </c>
    </row>
    <row r="29" spans="2:13" ht="18.75" customHeight="1" x14ac:dyDescent="0.15">
      <c r="B29" s="133" t="s">
        <v>51</v>
      </c>
      <c r="C29" s="208">
        <f>IFERROR(INDEX(阻害要因×年齢階層[#All],MATCH($M29,阻害要因×年齢階層[[#All],[値]],0),MATCH($N$3,阻害要因×年齢階層[#Headers],0)),0)</f>
        <v>30</v>
      </c>
      <c r="D29" s="209">
        <f t="shared" si="1"/>
        <v>4.0160642570281124E-2</v>
      </c>
      <c r="E29" s="208">
        <f>IFERROR(INDEX(阻害要因×年齢階層[#All],MATCH($M29,阻害要因×年齢階層[[#All],[値]],0),MATCH($O$3,阻害要因×年齢階層[#Headers],0)),0)</f>
        <v>33</v>
      </c>
      <c r="F29" s="209">
        <f t="shared" si="2"/>
        <v>2.7004909983633387E-2</v>
      </c>
      <c r="G29" s="40">
        <f t="shared" si="3"/>
        <v>63</v>
      </c>
      <c r="H29" s="56" t="s">
        <v>179</v>
      </c>
      <c r="I29" s="60">
        <v>33</v>
      </c>
      <c r="J29" s="60">
        <v>30</v>
      </c>
      <c r="M29" s="56" t="s">
        <v>179</v>
      </c>
    </row>
    <row r="30" spans="2:13" ht="18.75" customHeight="1" x14ac:dyDescent="0.15">
      <c r="B30" s="133" t="s">
        <v>52</v>
      </c>
      <c r="C30" s="208">
        <f>IFERROR(INDEX(阻害要因×年齢階層[#All],MATCH($M30,阻害要因×年齢階層[[#All],[値]],0),MATCH($N$3,阻害要因×年齢階層[#Headers],0)),0)</f>
        <v>10</v>
      </c>
      <c r="D30" s="209">
        <f t="shared" si="1"/>
        <v>1.3386880856760375E-2</v>
      </c>
      <c r="E30" s="208">
        <f>IFERROR(INDEX(阻害要因×年齢階層[#All],MATCH($M30,阻害要因×年齢階層[[#All],[値]],0),MATCH($O$3,阻害要因×年齢階層[#Headers],0)),0)</f>
        <v>2</v>
      </c>
      <c r="F30" s="209">
        <f t="shared" si="2"/>
        <v>1.6366612111292963E-3</v>
      </c>
      <c r="G30" s="40">
        <f t="shared" si="3"/>
        <v>12</v>
      </c>
      <c r="H30" s="56" t="s">
        <v>180</v>
      </c>
      <c r="I30" s="60">
        <v>2</v>
      </c>
      <c r="J30" s="60">
        <v>10</v>
      </c>
      <c r="M30" s="56" t="s">
        <v>180</v>
      </c>
    </row>
    <row r="31" spans="2:13" ht="18.75" customHeight="1" x14ac:dyDescent="0.15">
      <c r="B31" s="134" t="s">
        <v>53</v>
      </c>
      <c r="C31" s="211">
        <f>IFERROR(INDEX(阻害要因×年齢階層[#All],MATCH($M31,阻害要因×年齢階層[[#All],[値]],0),MATCH($N$3,阻害要因×年齢階層[#Headers],0)),0)</f>
        <v>21</v>
      </c>
      <c r="D31" s="213">
        <f t="shared" si="1"/>
        <v>2.8112449799196786E-2</v>
      </c>
      <c r="E31" s="211">
        <f>IFERROR(INDEX(阻害要因×年齢階層[#All],MATCH($M31,阻害要因×年齢階層[[#All],[値]],0),MATCH($O$3,阻害要因×年齢階層[#Headers],0)),0)</f>
        <v>17</v>
      </c>
      <c r="F31" s="213">
        <f t="shared" si="2"/>
        <v>1.3911620294599018E-2</v>
      </c>
      <c r="G31" s="40">
        <f t="shared" si="3"/>
        <v>38</v>
      </c>
      <c r="H31" s="56" t="s">
        <v>181</v>
      </c>
      <c r="I31" s="60">
        <v>17</v>
      </c>
      <c r="J31" s="60">
        <v>21</v>
      </c>
      <c r="M31" s="56" t="s">
        <v>181</v>
      </c>
    </row>
    <row r="32" spans="2:13" ht="18.75" customHeight="1" x14ac:dyDescent="0.15">
      <c r="C32" s="226"/>
      <c r="D32" s="227"/>
      <c r="E32" s="226"/>
      <c r="F32" s="227"/>
      <c r="G32" s="40"/>
      <c r="H32" s="34"/>
    </row>
    <row r="33" spans="2:10" ht="18.75" customHeight="1" x14ac:dyDescent="0.15">
      <c r="B33" s="2" t="s">
        <v>87</v>
      </c>
      <c r="C33" s="226"/>
      <c r="D33" s="226"/>
      <c r="E33" s="226"/>
      <c r="F33" s="226"/>
      <c r="G33" s="40"/>
    </row>
    <row r="34" spans="2:10" ht="18.75" customHeight="1" thickBot="1" x14ac:dyDescent="0.2">
      <c r="B34" s="675" t="s">
        <v>240</v>
      </c>
      <c r="C34" s="677" t="s">
        <v>65</v>
      </c>
      <c r="D34" s="678"/>
      <c r="E34" s="678"/>
      <c r="F34" s="679"/>
      <c r="G34" s="40"/>
      <c r="H34" s="34" t="s">
        <v>63</v>
      </c>
      <c r="I34" s="43" t="s">
        <v>280</v>
      </c>
    </row>
    <row r="35" spans="2:10" ht="18.75" customHeight="1" thickTop="1" thickBot="1" x14ac:dyDescent="0.2">
      <c r="B35" s="676"/>
      <c r="C35" s="680" t="s">
        <v>267</v>
      </c>
      <c r="D35" s="681"/>
      <c r="E35" s="680" t="s">
        <v>265</v>
      </c>
      <c r="F35" s="681"/>
      <c r="G35" s="40"/>
      <c r="H35" s="502" t="s">
        <v>370</v>
      </c>
      <c r="I35" s="377" t="s">
        <v>307</v>
      </c>
      <c r="J35" s="377" t="s">
        <v>306</v>
      </c>
    </row>
    <row r="36" spans="2:10" ht="37.5" customHeight="1" thickTop="1" x14ac:dyDescent="0.15">
      <c r="B36" s="88" t="s">
        <v>231</v>
      </c>
      <c r="C36" s="205">
        <f>IFERROR(INDEX(退院予定有無×年齢階層＿寛解・院内寛解[#All],MATCH($M4,退院予定有無×年齢階層＿寛解・院内寛解[[#All],[行ラベル]],0),MATCH($N$3,退院予定有無×年齢階層＿寛解・院内寛解[#Headers],0)),0)</f>
        <v>291</v>
      </c>
      <c r="D36" s="206">
        <f>IFERROR(C36/C$39,"-")</f>
        <v>0.31561822125813449</v>
      </c>
      <c r="E36" s="205">
        <f>IFERROR(INDEX(退院予定有無×年齢階層＿寛解・院内寛解[#All],MATCH($M4,退院予定有無×年齢階層＿寛解・院内寛解[[#All],[行ラベル]],0),MATCH($O$3,退院予定有無×年齢階層＿寛解・院内寛解[#Headers],0)),0)</f>
        <v>388</v>
      </c>
      <c r="F36" s="207">
        <f>IFERROR(E36/E$39,"-")</f>
        <v>0.45971563981042651</v>
      </c>
      <c r="G36" s="40">
        <f>SUM(C36,E36)</f>
        <v>679</v>
      </c>
      <c r="H36" s="34">
        <v>98</v>
      </c>
      <c r="I36" s="60">
        <v>110</v>
      </c>
      <c r="J36" s="60">
        <v>126</v>
      </c>
    </row>
    <row r="37" spans="2:10" ht="18.75" customHeight="1" x14ac:dyDescent="0.15">
      <c r="B37" s="92" t="s">
        <v>241</v>
      </c>
      <c r="C37" s="208">
        <f>IFERROR(INDEX(退院予定有無×年齢階層＿寛解・院内寛解[#All],MATCH($M5,退院予定有無×年齢階層＿寛解・院内寛解[[#All],[行ラベル]],0),MATCH($N$3,退院予定有無×年齢階層＿寛解・院内寛解[#Headers],0)),0)</f>
        <v>126</v>
      </c>
      <c r="D37" s="209">
        <f>IFERROR(C37/C$39,"-")</f>
        <v>0.13665943600867678</v>
      </c>
      <c r="E37" s="208">
        <f>IFERROR(INDEX(退院予定有無×年齢階層＿寛解・院内寛解[#All],MATCH($M5,退院予定有無×年齢階層＿寛解・院内寛解[[#All],[行ラベル]],0),MATCH($O$3,退院予定有無×年齢階層＿寛解・院内寛解[#Headers],0)),0)</f>
        <v>110</v>
      </c>
      <c r="F37" s="210">
        <f>IFERROR(E37/E$39,"-")</f>
        <v>0.13033175355450238</v>
      </c>
      <c r="G37" s="40">
        <f t="shared" ref="G37:G39" si="4">SUM(C37,E37)</f>
        <v>236</v>
      </c>
      <c r="H37" s="34">
        <v>97</v>
      </c>
      <c r="I37" s="60">
        <v>388</v>
      </c>
      <c r="J37" s="60">
        <v>291</v>
      </c>
    </row>
    <row r="38" spans="2:10" ht="18.75" customHeight="1" x14ac:dyDescent="0.15">
      <c r="B38" s="123" t="s">
        <v>36</v>
      </c>
      <c r="C38" s="211">
        <f>IFERROR(INDEX(退院予定有無×年齢階層＿寛解・院内寛解[#All],MATCH($M6,退院予定有無×年齢階層＿寛解・院内寛解[[#All],[行ラベル]],0),MATCH($N$3,退院予定有無×年齢階層＿寛解・院内寛解[#Headers],0)),0)</f>
        <v>505</v>
      </c>
      <c r="D38" s="212">
        <f>IFERROR(C38/C$39,"-")</f>
        <v>0.54772234273318876</v>
      </c>
      <c r="E38" s="211">
        <f>IFERROR(INDEX(退院予定有無×年齢階層＿寛解・院内寛解[#All],MATCH($M6,退院予定有無×年齢階層＿寛解・院内寛解[[#All],[行ラベル]],0),MATCH($O$3,退院予定有無×年齢階層＿寛解・院内寛解[#Headers],0)),0)</f>
        <v>346</v>
      </c>
      <c r="F38" s="213">
        <f>IFERROR(E38/E$39,"-")</f>
        <v>0.4099526066350711</v>
      </c>
      <c r="G38" s="40">
        <f>SUM(C38,E38,K37)</f>
        <v>851</v>
      </c>
      <c r="H38" s="34">
        <v>99</v>
      </c>
      <c r="I38" s="60">
        <v>346</v>
      </c>
      <c r="J38" s="60">
        <v>505</v>
      </c>
    </row>
    <row r="39" spans="2:10" ht="18.75" customHeight="1" x14ac:dyDescent="0.15">
      <c r="B39" s="93" t="s">
        <v>161</v>
      </c>
      <c r="C39" s="214">
        <f t="shared" ref="C39:F39" si="5">SUM(C36:C38)</f>
        <v>922</v>
      </c>
      <c r="D39" s="215">
        <f t="shared" si="5"/>
        <v>1</v>
      </c>
      <c r="E39" s="216">
        <f>SUM(E36:E38)</f>
        <v>844</v>
      </c>
      <c r="F39" s="215">
        <f t="shared" si="5"/>
        <v>1</v>
      </c>
      <c r="G39" s="40">
        <f t="shared" si="4"/>
        <v>1766</v>
      </c>
      <c r="H39" s="34"/>
    </row>
    <row r="40" spans="2:10" ht="18.75" customHeight="1" thickBot="1" x14ac:dyDescent="0.2">
      <c r="B40" s="97"/>
      <c r="C40" s="217"/>
      <c r="D40" s="218"/>
      <c r="E40" s="219"/>
      <c r="F40" s="218"/>
      <c r="G40" s="40"/>
      <c r="H40" s="34"/>
    </row>
    <row r="41" spans="2:10" ht="18.75" customHeight="1" thickTop="1" thickBot="1" x14ac:dyDescent="0.2">
      <c r="B41" s="135" t="s">
        <v>239</v>
      </c>
      <c r="C41" s="669"/>
      <c r="D41" s="670"/>
      <c r="E41" s="670"/>
      <c r="F41" s="671"/>
      <c r="G41" s="40"/>
      <c r="H41" s="502" t="s">
        <v>370</v>
      </c>
      <c r="I41" s="377" t="s">
        <v>307</v>
      </c>
      <c r="J41" s="377" t="s">
        <v>306</v>
      </c>
    </row>
    <row r="42" spans="2:10" ht="18.75" customHeight="1" thickTop="1" x14ac:dyDescent="0.15">
      <c r="B42" s="102" t="s">
        <v>34</v>
      </c>
      <c r="C42" s="205">
        <f>IFERROR(INDEX(阻害要因有無×年齢階層＿寛解・院内寛解[#All],MATCH($M10,阻害要因有無×年齢階層＿寛解・院内寛解[[#All],[行ラベル]],0),MATCH($N$3,阻害要因有無×年齢階層＿寛解・院内寛解[#Headers],0)),0)</f>
        <v>231</v>
      </c>
      <c r="D42" s="207">
        <f>IFERROR(C42/C$36,"-")</f>
        <v>0.79381443298969068</v>
      </c>
      <c r="E42" s="205">
        <f>IFERROR(INDEX(阻害要因有無×年齢階層＿寛解・院内寛解[#All],MATCH($M10,阻害要因有無×年齢階層＿寛解・院内寛解[[#All],[行ラベル]],0),MATCH($O$3,阻害要因有無×年齢階層＿寛解・院内寛解[#Headers],0)),0)</f>
        <v>342</v>
      </c>
      <c r="F42" s="207">
        <f>IFERROR(E42/E$36,"-")</f>
        <v>0.88144329896907214</v>
      </c>
      <c r="G42" s="40">
        <f>SUM(C42,E42)</f>
        <v>573</v>
      </c>
      <c r="H42" s="34">
        <v>91</v>
      </c>
      <c r="I42" s="60">
        <v>342</v>
      </c>
      <c r="J42" s="60">
        <v>231</v>
      </c>
    </row>
    <row r="43" spans="2:10" ht="18.75" customHeight="1" x14ac:dyDescent="0.15">
      <c r="B43" s="92" t="s">
        <v>35</v>
      </c>
      <c r="C43" s="208">
        <f>IFERROR(INDEX(阻害要因有無×年齢階層＿寛解・院内寛解[#All],MATCH($M11,阻害要因有無×年齢階層＿寛解・院内寛解[[#All],[行ラベル]],0),MATCH($N$3,阻害要因有無×年齢階層＿寛解・院内寛解[#Headers],0)),0)</f>
        <v>60</v>
      </c>
      <c r="D43" s="209">
        <f>IFERROR(C43/C$36,"-")</f>
        <v>0.20618556701030927</v>
      </c>
      <c r="E43" s="208">
        <f>IFERROR(INDEX(阻害要因有無×年齢階層＿寛解・院内寛解[#All],MATCH($M11,阻害要因有無×年齢階層＿寛解・院内寛解[[#All],[行ラベル]],0),MATCH($O$3,阻害要因有無×年齢階層＿寛解・院内寛解[#Headers],0)),0)</f>
        <v>46</v>
      </c>
      <c r="F43" s="209">
        <f>IFERROR(E43/E$36,"-")</f>
        <v>0.11855670103092783</v>
      </c>
      <c r="G43" s="40">
        <f t="shared" ref="G43" si="6">SUM(C43,E43)</f>
        <v>106</v>
      </c>
      <c r="H43" s="34">
        <v>90</v>
      </c>
      <c r="I43" s="60">
        <v>46</v>
      </c>
      <c r="J43" s="60">
        <v>60</v>
      </c>
    </row>
    <row r="44" spans="2:10" ht="18.75" customHeight="1" thickBot="1" x14ac:dyDescent="0.2">
      <c r="B44" s="103" t="s">
        <v>263</v>
      </c>
      <c r="C44" s="672"/>
      <c r="D44" s="673"/>
      <c r="E44" s="673"/>
      <c r="F44" s="674"/>
      <c r="G44" s="40"/>
    </row>
    <row r="45" spans="2:10" ht="21" customHeight="1" thickTop="1" thickBot="1" x14ac:dyDescent="0.2">
      <c r="B45" s="666" t="s">
        <v>274</v>
      </c>
      <c r="C45" s="667"/>
      <c r="D45" s="667"/>
      <c r="E45" s="667"/>
      <c r="F45" s="668"/>
      <c r="G45" s="40">
        <f t="shared" ref="G45:G62" si="7">SUM(C46,E46)</f>
        <v>165</v>
      </c>
      <c r="H45" s="502" t="s">
        <v>585</v>
      </c>
      <c r="I45" s="377" t="s">
        <v>307</v>
      </c>
      <c r="J45" s="377" t="s">
        <v>306</v>
      </c>
    </row>
    <row r="46" spans="2:10" ht="38.25" customHeight="1" thickTop="1" x14ac:dyDescent="0.15">
      <c r="B46" s="132" t="s">
        <v>235</v>
      </c>
      <c r="C46" s="208">
        <f>IFERROR(INDEX(阻害要因×年齢階層＿寛解・院内寛解[#All],MATCH($M14,阻害要因×年齢階層＿寛解・院内寛解[[#All],[値]],0),MATCH($N$3,阻害要因×年齢階層＿寛解・院内寛解[#Headers],0)),0)</f>
        <v>74</v>
      </c>
      <c r="D46" s="224">
        <f t="shared" ref="D46:D63" si="8">IFERROR(C46/C$42,"-")</f>
        <v>0.32034632034632032</v>
      </c>
      <c r="E46" s="223">
        <f>IFERROR(INDEX(阻害要因×年齢階層＿寛解・院内寛解[#All],MATCH($M14,阻害要因×年齢階層＿寛解・院内寛解[[#All],[値]],0),MATCH($O$3,阻害要因×年齢階層＿寛解・院内寛解[#Headers],0)),0)</f>
        <v>91</v>
      </c>
      <c r="F46" s="224">
        <f t="shared" ref="F46:F63" si="9">IFERROR(E46/E$42,"-")</f>
        <v>0.26608187134502925</v>
      </c>
      <c r="G46" s="40">
        <f t="shared" si="7"/>
        <v>118</v>
      </c>
      <c r="H46" s="56" t="s">
        <v>309</v>
      </c>
      <c r="I46" s="60">
        <v>91</v>
      </c>
      <c r="J46" s="60">
        <v>74</v>
      </c>
    </row>
    <row r="47" spans="2:10" ht="18.75" customHeight="1" x14ac:dyDescent="0.15">
      <c r="B47" s="133" t="s">
        <v>66</v>
      </c>
      <c r="C47" s="208">
        <f>IFERROR(INDEX(阻害要因×年齢階層＿寛解・院内寛解[#All],MATCH($M15,阻害要因×年齢階層＿寛解・院内寛解[[#All],[値]],0),MATCH($N$3,阻害要因×年齢階層＿寛解・院内寛解[#Headers],0)),0)</f>
        <v>54</v>
      </c>
      <c r="D47" s="225">
        <f t="shared" si="8"/>
        <v>0.23376623376623376</v>
      </c>
      <c r="E47" s="208">
        <f>IFERROR(INDEX(阻害要因×年齢階層＿寛解・院内寛解[#All],MATCH($M15,阻害要因×年齢階層＿寛解・院内寛解[[#All],[値]],0),MATCH($O$3,阻害要因×年齢階層＿寛解・院内寛解[#Headers],0)),0)</f>
        <v>64</v>
      </c>
      <c r="F47" s="225">
        <f t="shared" si="9"/>
        <v>0.1871345029239766</v>
      </c>
      <c r="G47" s="40">
        <f t="shared" si="7"/>
        <v>17</v>
      </c>
      <c r="H47" s="56" t="s">
        <v>310</v>
      </c>
      <c r="I47" s="60">
        <v>64</v>
      </c>
      <c r="J47" s="60">
        <v>54</v>
      </c>
    </row>
    <row r="48" spans="2:10" ht="18.75" customHeight="1" x14ac:dyDescent="0.15">
      <c r="B48" s="133" t="s">
        <v>38</v>
      </c>
      <c r="C48" s="208">
        <f>IFERROR(INDEX(阻害要因×年齢階層＿寛解・院内寛解[#All],MATCH($M16,阻害要因×年齢階層＿寛解・院内寛解[[#All],[値]],0),MATCH($N$3,阻害要因×年齢階層＿寛解・院内寛解[#Headers],0)),0)</f>
        <v>11</v>
      </c>
      <c r="D48" s="225">
        <f t="shared" si="8"/>
        <v>4.7619047619047616E-2</v>
      </c>
      <c r="E48" s="208">
        <f>IFERROR(INDEX(阻害要因×年齢階層＿寛解・院内寛解[#All],MATCH($M16,阻害要因×年齢階層＿寛解・院内寛解[[#All],[値]],0),MATCH($O$3,阻害要因×年齢階層＿寛解・院内寛解[#Headers],0)),0)</f>
        <v>6</v>
      </c>
      <c r="F48" s="225">
        <f t="shared" si="9"/>
        <v>1.7543859649122806E-2</v>
      </c>
      <c r="G48" s="40">
        <f t="shared" si="7"/>
        <v>200</v>
      </c>
      <c r="H48" s="56" t="s">
        <v>166</v>
      </c>
      <c r="I48" s="60">
        <v>6</v>
      </c>
      <c r="J48" s="60">
        <v>11</v>
      </c>
    </row>
    <row r="49" spans="2:10" ht="18.75" customHeight="1" x14ac:dyDescent="0.15">
      <c r="B49" s="133" t="s">
        <v>39</v>
      </c>
      <c r="C49" s="208">
        <f>IFERROR(INDEX(阻害要因×年齢階層＿寛解・院内寛解[#All],MATCH($M17,阻害要因×年齢階層＿寛解・院内寛解[[#All],[値]],0),MATCH($N$3,阻害要因×年齢階層＿寛解・院内寛解[#Headers],0)),0)</f>
        <v>68</v>
      </c>
      <c r="D49" s="225">
        <f t="shared" si="8"/>
        <v>0.2943722943722944</v>
      </c>
      <c r="E49" s="208">
        <f>IFERROR(INDEX(阻害要因×年齢階層＿寛解・院内寛解[#All],MATCH($M17,阻害要因×年齢階層＿寛解・院内寛解[[#All],[値]],0),MATCH($O$3,阻害要因×年齢階層＿寛解・院内寛解[#Headers],0)),0)</f>
        <v>132</v>
      </c>
      <c r="F49" s="225">
        <f t="shared" si="9"/>
        <v>0.38596491228070173</v>
      </c>
      <c r="G49" s="40">
        <f t="shared" si="7"/>
        <v>140</v>
      </c>
      <c r="H49" s="56" t="s">
        <v>167</v>
      </c>
      <c r="I49" s="60">
        <v>132</v>
      </c>
      <c r="J49" s="60">
        <v>68</v>
      </c>
    </row>
    <row r="50" spans="2:10" ht="18.75" customHeight="1" x14ac:dyDescent="0.15">
      <c r="B50" s="133" t="s">
        <v>40</v>
      </c>
      <c r="C50" s="208">
        <f>IFERROR(INDEX(阻害要因×年齢階層＿寛解・院内寛解[#All],MATCH($M18,阻害要因×年齢階層＿寛解・院内寛解[[#All],[値]],0),MATCH($N$3,阻害要因×年齢階層＿寛解・院内寛解[#Headers],0)),0)</f>
        <v>54</v>
      </c>
      <c r="D50" s="225">
        <f t="shared" si="8"/>
        <v>0.23376623376623376</v>
      </c>
      <c r="E50" s="208">
        <f>IFERROR(INDEX(阻害要因×年齢階層＿寛解・院内寛解[#All],MATCH($M18,阻害要因×年齢階層＿寛解・院内寛解[[#All],[値]],0),MATCH($O$3,阻害要因×年齢階層＿寛解・院内寛解[#Headers],0)),0)</f>
        <v>86</v>
      </c>
      <c r="F50" s="225">
        <f t="shared" si="9"/>
        <v>0.25146198830409355</v>
      </c>
      <c r="G50" s="40">
        <f t="shared" si="7"/>
        <v>165</v>
      </c>
      <c r="H50" s="56" t="s">
        <v>168</v>
      </c>
      <c r="I50" s="60">
        <v>86</v>
      </c>
      <c r="J50" s="60">
        <v>54</v>
      </c>
    </row>
    <row r="51" spans="2:10" ht="18.75" customHeight="1" x14ac:dyDescent="0.15">
      <c r="B51" s="133" t="s">
        <v>41</v>
      </c>
      <c r="C51" s="208">
        <f>IFERROR(INDEX(阻害要因×年齢階層＿寛解・院内寛解[#All],MATCH($M19,阻害要因×年齢階層＿寛解・院内寛解[[#All],[値]],0),MATCH($N$3,阻害要因×年齢階層＿寛解・院内寛解[#Headers],0)),0)</f>
        <v>72</v>
      </c>
      <c r="D51" s="225">
        <f t="shared" si="8"/>
        <v>0.31168831168831168</v>
      </c>
      <c r="E51" s="208">
        <f>IFERROR(INDEX(阻害要因×年齢階層＿寛解・院内寛解[#All],MATCH($M19,阻害要因×年齢階層＿寛解・院内寛解[[#All],[値]],0),MATCH($O$3,阻害要因×年齢階層＿寛解・院内寛解[#Headers],0)),0)</f>
        <v>93</v>
      </c>
      <c r="F51" s="225">
        <f t="shared" si="9"/>
        <v>0.27192982456140352</v>
      </c>
      <c r="G51" s="40">
        <f t="shared" si="7"/>
        <v>32</v>
      </c>
      <c r="H51" s="56" t="s">
        <v>169</v>
      </c>
      <c r="I51" s="60">
        <v>93</v>
      </c>
      <c r="J51" s="60">
        <v>72</v>
      </c>
    </row>
    <row r="52" spans="2:10" ht="18.75" customHeight="1" x14ac:dyDescent="0.15">
      <c r="B52" s="133" t="s">
        <v>42</v>
      </c>
      <c r="C52" s="208">
        <f>IFERROR(INDEX(阻害要因×年齢階層＿寛解・院内寛解[#All],MATCH($M20,阻害要因×年齢階層＿寛解・院内寛解[[#All],[値]],0),MATCH($N$3,阻害要因×年齢階層＿寛解・院内寛解[#Headers],0)),0)</f>
        <v>14</v>
      </c>
      <c r="D52" s="225">
        <f t="shared" si="8"/>
        <v>6.0606060606060608E-2</v>
      </c>
      <c r="E52" s="208">
        <f>IFERROR(INDEX(阻害要因×年齢階層＿寛解・院内寛解[#All],MATCH($M20,阻害要因×年齢階層＿寛解・院内寛解[[#All],[値]],0),MATCH($O$3,阻害要因×年齢階層＿寛解・院内寛解[#Headers],0)),0)</f>
        <v>18</v>
      </c>
      <c r="F52" s="225">
        <f t="shared" si="9"/>
        <v>5.2631578947368418E-2</v>
      </c>
      <c r="G52" s="40">
        <f t="shared" si="7"/>
        <v>118</v>
      </c>
      <c r="H52" s="56" t="s">
        <v>170</v>
      </c>
      <c r="I52" s="60">
        <v>18</v>
      </c>
      <c r="J52" s="60">
        <v>14</v>
      </c>
    </row>
    <row r="53" spans="2:10" ht="18.75" customHeight="1" x14ac:dyDescent="0.15">
      <c r="B53" s="133" t="s">
        <v>43</v>
      </c>
      <c r="C53" s="208">
        <f>IFERROR(INDEX(阻害要因×年齢階層＿寛解・院内寛解[#All],MATCH($M21,阻害要因×年齢階層＿寛解・院内寛解[[#All],[値]],0),MATCH($N$3,阻害要因×年齢階層＿寛解・院内寛解[#Headers],0)),0)</f>
        <v>48</v>
      </c>
      <c r="D53" s="225">
        <f t="shared" si="8"/>
        <v>0.20779220779220781</v>
      </c>
      <c r="E53" s="208">
        <f>IFERROR(INDEX(阻害要因×年齢階層＿寛解・院内寛解[#All],MATCH($M21,阻害要因×年齢階層＿寛解・院内寛解[[#All],[値]],0),MATCH($O$3,阻害要因×年齢階層＿寛解・院内寛解[#Headers],0)),0)</f>
        <v>70</v>
      </c>
      <c r="F53" s="225">
        <f t="shared" si="9"/>
        <v>0.2046783625730994</v>
      </c>
      <c r="G53" s="40">
        <f t="shared" si="7"/>
        <v>95</v>
      </c>
      <c r="H53" s="56" t="s">
        <v>171</v>
      </c>
      <c r="I53" s="60">
        <v>70</v>
      </c>
      <c r="J53" s="60">
        <v>48</v>
      </c>
    </row>
    <row r="54" spans="2:10" ht="18.75" customHeight="1" x14ac:dyDescent="0.15">
      <c r="B54" s="133" t="s">
        <v>44</v>
      </c>
      <c r="C54" s="208">
        <f>IFERROR(INDEX(阻害要因×年齢階層＿寛解・院内寛解[#All],MATCH($M22,阻害要因×年齢階層＿寛解・院内寛解[[#All],[値]],0),MATCH($N$3,阻害要因×年齢階層＿寛解・院内寛解[#Headers],0)),0)</f>
        <v>47</v>
      </c>
      <c r="D54" s="225">
        <f t="shared" si="8"/>
        <v>0.20346320346320346</v>
      </c>
      <c r="E54" s="208">
        <f>IFERROR(INDEX(阻害要因×年齢階層＿寛解・院内寛解[#All],MATCH($M22,阻害要因×年齢階層＿寛解・院内寛解[[#All],[値]],0),MATCH($O$3,阻害要因×年齢階層＿寛解・院内寛解[#Headers],0)),0)</f>
        <v>48</v>
      </c>
      <c r="F54" s="225">
        <f t="shared" si="9"/>
        <v>0.14035087719298245</v>
      </c>
      <c r="G54" s="40">
        <f t="shared" si="7"/>
        <v>121</v>
      </c>
      <c r="H54" s="56" t="s">
        <v>172</v>
      </c>
      <c r="I54" s="60">
        <v>48</v>
      </c>
      <c r="J54" s="60">
        <v>47</v>
      </c>
    </row>
    <row r="55" spans="2:10" ht="18.75" customHeight="1" x14ac:dyDescent="0.15">
      <c r="B55" s="133" t="s">
        <v>45</v>
      </c>
      <c r="C55" s="208">
        <f>IFERROR(INDEX(阻害要因×年齢階層＿寛解・院内寛解[#All],MATCH($M23,阻害要因×年齢階層＿寛解・院内寛解[[#All],[値]],0),MATCH($N$3,阻害要因×年齢階層＿寛解・院内寛解[#Headers],0)),0)</f>
        <v>46</v>
      </c>
      <c r="D55" s="225">
        <f t="shared" si="8"/>
        <v>0.19913419913419914</v>
      </c>
      <c r="E55" s="208">
        <f>IFERROR(INDEX(阻害要因×年齢階層＿寛解・院内寛解[#All],MATCH($M23,阻害要因×年齢階層＿寛解・院内寛解[[#All],[値]],0),MATCH($O$3,阻害要因×年齢階層＿寛解・院内寛解[#Headers],0)),0)</f>
        <v>75</v>
      </c>
      <c r="F55" s="225">
        <f t="shared" si="9"/>
        <v>0.21929824561403508</v>
      </c>
      <c r="G55" s="40">
        <f t="shared" si="7"/>
        <v>234</v>
      </c>
      <c r="H55" s="56" t="s">
        <v>173</v>
      </c>
      <c r="I55" s="60">
        <v>75</v>
      </c>
      <c r="J55" s="60">
        <v>46</v>
      </c>
    </row>
    <row r="56" spans="2:10" ht="18.75" customHeight="1" x14ac:dyDescent="0.15">
      <c r="B56" s="133" t="s">
        <v>46</v>
      </c>
      <c r="C56" s="208">
        <f>IFERROR(INDEX(阻害要因×年齢階層＿寛解・院内寛解[#All],MATCH($M24,阻害要因×年齢階層＿寛解・院内寛解[[#All],[値]],0),MATCH($N$3,阻害要因×年齢階層＿寛解・院内寛解[#Headers],0)),0)</f>
        <v>93</v>
      </c>
      <c r="D56" s="225">
        <f t="shared" si="8"/>
        <v>0.40259740259740262</v>
      </c>
      <c r="E56" s="208">
        <f>IFERROR(INDEX(阻害要因×年齢階層＿寛解・院内寛解[#All],MATCH($M24,阻害要因×年齢階層＿寛解・院内寛解[[#All],[値]],0),MATCH($O$3,阻害要因×年齢階層＿寛解・院内寛解[#Headers],0)),0)</f>
        <v>141</v>
      </c>
      <c r="F56" s="225">
        <f t="shared" si="9"/>
        <v>0.41228070175438597</v>
      </c>
      <c r="G56" s="40">
        <f t="shared" si="7"/>
        <v>41</v>
      </c>
      <c r="H56" s="56" t="s">
        <v>174</v>
      </c>
      <c r="I56" s="60">
        <v>141</v>
      </c>
      <c r="J56" s="60">
        <v>93</v>
      </c>
    </row>
    <row r="57" spans="2:10" ht="18.75" customHeight="1" x14ac:dyDescent="0.15">
      <c r="B57" s="133" t="s">
        <v>47</v>
      </c>
      <c r="C57" s="208">
        <f>IFERROR(INDEX(阻害要因×年齢階層＿寛解・院内寛解[#All],MATCH($M25,阻害要因×年齢階層＿寛解・院内寛解[[#All],[値]],0),MATCH($N$3,阻害要因×年齢階層＿寛解・院内寛解[#Headers],0)),0)</f>
        <v>14</v>
      </c>
      <c r="D57" s="225">
        <f t="shared" si="8"/>
        <v>6.0606060606060608E-2</v>
      </c>
      <c r="E57" s="208">
        <f>IFERROR(INDEX(阻害要因×年齢階層＿寛解・院内寛解[#All],MATCH($M25,阻害要因×年齢階層＿寛解・院内寛解[[#All],[値]],0),MATCH($O$3,阻害要因×年齢階層＿寛解・院内寛解[#Headers],0)),0)</f>
        <v>27</v>
      </c>
      <c r="F57" s="225">
        <f t="shared" si="9"/>
        <v>7.8947368421052627E-2</v>
      </c>
      <c r="G57" s="40">
        <f t="shared" si="7"/>
        <v>26</v>
      </c>
      <c r="H57" s="56" t="s">
        <v>175</v>
      </c>
      <c r="I57" s="60">
        <v>27</v>
      </c>
      <c r="J57" s="60">
        <v>14</v>
      </c>
    </row>
    <row r="58" spans="2:10" ht="18.75" customHeight="1" x14ac:dyDescent="0.15">
      <c r="B58" s="133" t="s">
        <v>48</v>
      </c>
      <c r="C58" s="208">
        <f>IFERROR(INDEX(阻害要因×年齢階層＿寛解・院内寛解[#All],MATCH($M26,阻害要因×年齢階層＿寛解・院内寛解[[#All],[値]],0),MATCH($N$3,阻害要因×年齢階層＿寛解・院内寛解[#Headers],0)),0)</f>
        <v>13</v>
      </c>
      <c r="D58" s="225">
        <f t="shared" si="8"/>
        <v>5.627705627705628E-2</v>
      </c>
      <c r="E58" s="208">
        <f>IFERROR(INDEX(阻害要因×年齢階層＿寛解・院内寛解[#All],MATCH($M26,阻害要因×年齢階層＿寛解・院内寛解[[#All],[値]],0),MATCH($O$3,阻害要因×年齢階層＿寛解・院内寛解[#Headers],0)),0)</f>
        <v>13</v>
      </c>
      <c r="F58" s="225">
        <f t="shared" si="9"/>
        <v>3.8011695906432746E-2</v>
      </c>
      <c r="G58" s="40">
        <f t="shared" si="7"/>
        <v>3</v>
      </c>
      <c r="H58" s="56" t="s">
        <v>176</v>
      </c>
      <c r="I58" s="60">
        <v>13</v>
      </c>
      <c r="J58" s="60">
        <v>13</v>
      </c>
    </row>
    <row r="59" spans="2:10" ht="18.75" customHeight="1" x14ac:dyDescent="0.15">
      <c r="B59" s="133" t="s">
        <v>49</v>
      </c>
      <c r="C59" s="208">
        <f>IFERROR(INDEX(阻害要因×年齢階層＿寛解・院内寛解[#All],MATCH($M27,阻害要因×年齢階層＿寛解・院内寛解[[#All],[値]],0),MATCH($N$3,阻害要因×年齢階層＿寛解・院内寛解[#Headers],0)),0)</f>
        <v>1</v>
      </c>
      <c r="D59" s="225">
        <f t="shared" si="8"/>
        <v>4.329004329004329E-3</v>
      </c>
      <c r="E59" s="208">
        <f>IFERROR(INDEX(阻害要因×年齢階層＿寛解・院内寛解[#All],MATCH($M27,阻害要因×年齢階層＿寛解・院内寛解[[#All],[値]],0),MATCH($O$3,阻害要因×年齢階層＿寛解・院内寛解[#Headers],0)),0)</f>
        <v>2</v>
      </c>
      <c r="F59" s="225">
        <f t="shared" si="9"/>
        <v>5.8479532163742687E-3</v>
      </c>
      <c r="G59" s="40">
        <f t="shared" si="7"/>
        <v>60</v>
      </c>
      <c r="H59" s="56" t="s">
        <v>177</v>
      </c>
      <c r="I59" s="60">
        <v>2</v>
      </c>
      <c r="J59" s="60">
        <v>1</v>
      </c>
    </row>
    <row r="60" spans="2:10" ht="18.75" customHeight="1" x14ac:dyDescent="0.15">
      <c r="B60" s="133" t="s">
        <v>50</v>
      </c>
      <c r="C60" s="208">
        <f>IFERROR(INDEX(阻害要因×年齢階層＿寛解・院内寛解[#All],MATCH($M28,阻害要因×年齢階層＿寛解・院内寛解[[#All],[値]],0),MATCH($N$3,阻害要因×年齢階層＿寛解・院内寛解[#Headers],0)),0)</f>
        <v>24</v>
      </c>
      <c r="D60" s="225">
        <f t="shared" si="8"/>
        <v>0.1038961038961039</v>
      </c>
      <c r="E60" s="208">
        <f>IFERROR(INDEX(阻害要因×年齢階層＿寛解・院内寛解[#All],MATCH($M28,阻害要因×年齢階層＿寛解・院内寛解[[#All],[値]],0),MATCH($O$3,阻害要因×年齢階層＿寛解・院内寛解[#Headers],0)),0)</f>
        <v>36</v>
      </c>
      <c r="F60" s="225">
        <f t="shared" si="9"/>
        <v>0.10526315789473684</v>
      </c>
      <c r="G60" s="40">
        <f t="shared" si="7"/>
        <v>63</v>
      </c>
      <c r="H60" s="56" t="s">
        <v>178</v>
      </c>
      <c r="I60" s="60">
        <v>36</v>
      </c>
      <c r="J60" s="60">
        <v>24</v>
      </c>
    </row>
    <row r="61" spans="2:10" ht="18.75" customHeight="1" x14ac:dyDescent="0.15">
      <c r="B61" s="133" t="s">
        <v>51</v>
      </c>
      <c r="C61" s="208">
        <f>IFERROR(INDEX(阻害要因×年齢階層＿寛解・院内寛解[#All],MATCH($M29,阻害要因×年齢階層＿寛解・院内寛解[[#All],[値]],0),MATCH($N$3,阻害要因×年齢階層＿寛解・院内寛解[#Headers],0)),0)</f>
        <v>30</v>
      </c>
      <c r="D61" s="225">
        <f t="shared" si="8"/>
        <v>0.12987012987012986</v>
      </c>
      <c r="E61" s="208">
        <f>IFERROR(INDEX(阻害要因×年齢階層＿寛解・院内寛解[#All],MATCH($M29,阻害要因×年齢階層＿寛解・院内寛解[[#All],[値]],0),MATCH($O$3,阻害要因×年齢階層＿寛解・院内寛解[#Headers],0)),0)</f>
        <v>33</v>
      </c>
      <c r="F61" s="225">
        <f t="shared" si="9"/>
        <v>9.6491228070175433E-2</v>
      </c>
      <c r="G61" s="40">
        <f t="shared" si="7"/>
        <v>12</v>
      </c>
      <c r="H61" s="56" t="s">
        <v>179</v>
      </c>
      <c r="I61" s="60">
        <v>33</v>
      </c>
      <c r="J61" s="60">
        <v>30</v>
      </c>
    </row>
    <row r="62" spans="2:10" ht="18.75" customHeight="1" x14ac:dyDescent="0.15">
      <c r="B62" s="133" t="s">
        <v>52</v>
      </c>
      <c r="C62" s="208">
        <f>IFERROR(INDEX(阻害要因×年齢階層＿寛解・院内寛解[#All],MATCH($M30,阻害要因×年齢階層＿寛解・院内寛解[[#All],[値]],0),MATCH($N$3,阻害要因×年齢階層＿寛解・院内寛解[#Headers],0)),0)</f>
        <v>10</v>
      </c>
      <c r="D62" s="225">
        <f t="shared" si="8"/>
        <v>4.3290043290043288E-2</v>
      </c>
      <c r="E62" s="208">
        <f>IFERROR(INDEX(阻害要因×年齢階層＿寛解・院内寛解[#All],MATCH($M30,阻害要因×年齢階層＿寛解・院内寛解[[#All],[値]],0),MATCH($O$3,阻害要因×年齢階層＿寛解・院内寛解[#Headers],0)),0)</f>
        <v>2</v>
      </c>
      <c r="F62" s="225">
        <f t="shared" si="9"/>
        <v>5.8479532163742687E-3</v>
      </c>
      <c r="G62" s="40">
        <f t="shared" si="7"/>
        <v>38</v>
      </c>
      <c r="H62" s="56" t="s">
        <v>180</v>
      </c>
      <c r="I62" s="60">
        <v>2</v>
      </c>
      <c r="J62" s="60">
        <v>10</v>
      </c>
    </row>
    <row r="63" spans="2:10" x14ac:dyDescent="0.15">
      <c r="B63" s="134" t="s">
        <v>53</v>
      </c>
      <c r="C63" s="211">
        <f>IFERROR(INDEX(阻害要因×年齢階層＿寛解・院内寛解[#All],MATCH($M31,阻害要因×年齢階層＿寛解・院内寛解[[#All],[値]],0),MATCH($N$3,阻害要因×年齢階層＿寛解・院内寛解[#Headers],0)),0)</f>
        <v>21</v>
      </c>
      <c r="D63" s="213">
        <f t="shared" si="8"/>
        <v>9.0909090909090912E-2</v>
      </c>
      <c r="E63" s="211">
        <f>IFERROR(INDEX(阻害要因×年齢階層＿寛解・院内寛解[#All],MATCH($M31,阻害要因×年齢階層＿寛解・院内寛解[[#All],[値]],0),MATCH($O$3,阻害要因×年齢階層＿寛解・院内寛解[#Headers],0)),0)</f>
        <v>17</v>
      </c>
      <c r="F63" s="213">
        <f t="shared" si="9"/>
        <v>4.9707602339181284E-2</v>
      </c>
      <c r="H63" s="56" t="s">
        <v>181</v>
      </c>
      <c r="I63" s="60">
        <v>17</v>
      </c>
      <c r="J63" s="60">
        <v>21</v>
      </c>
    </row>
  </sheetData>
  <mergeCells count="13">
    <mergeCell ref="B2:B3"/>
    <mergeCell ref="C2:F2"/>
    <mergeCell ref="C3:D3"/>
    <mergeCell ref="E3:F3"/>
    <mergeCell ref="B13:F13"/>
    <mergeCell ref="B45:F45"/>
    <mergeCell ref="C41:F41"/>
    <mergeCell ref="C44:F44"/>
    <mergeCell ref="C12:F12"/>
    <mergeCell ref="B34:B35"/>
    <mergeCell ref="C34:F34"/>
    <mergeCell ref="C35:D35"/>
    <mergeCell ref="E35:F35"/>
  </mergeCells>
  <phoneticPr fontId="2"/>
  <printOptions horizontalCentered="1"/>
  <pageMargins left="0.70866141732283472" right="0.70866141732283472" top="0.74803149606299213" bottom="0.74803149606299213" header="0.31496062992125984" footer="0.31496062992125984"/>
  <pageSetup paperSize="9" fitToHeight="0" orientation="portrait" r:id="rId1"/>
  <rowBreaks count="1" manualBreakCount="1">
    <brk id="32" min="1" max="5" man="1"/>
  </rowBreaks>
  <ignoredErrors>
    <ignoredError sqref="E4:E6 E10:E11 E14:E31 E36:E38 E42:E43 E46:E6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データ削除18">
                <anchor moveWithCells="1" sizeWithCells="1">
                  <from>
                    <xdr:col>10</xdr:col>
                    <xdr:colOff>133350</xdr:colOff>
                    <xdr:row>2</xdr:row>
                    <xdr:rowOff>9525</xdr:rowOff>
                  </from>
                  <to>
                    <xdr:col>12</xdr:col>
                    <xdr:colOff>9525</xdr:colOff>
                    <xdr:row>3</xdr:row>
                    <xdr:rowOff>285750</xdr:rowOff>
                  </to>
                </anchor>
              </controlPr>
            </control>
          </mc:Choice>
        </mc:AlternateContent>
      </controls>
    </mc:Choice>
  </mc:AlternateContent>
  <tableParts count="6">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tint="-0.249977111117893"/>
    <pageSetUpPr fitToPage="1"/>
  </sheetPr>
  <dimension ref="A1:T49"/>
  <sheetViews>
    <sheetView showGridLines="0" zoomScaleNormal="100" zoomScaleSheetLayoutView="90" workbookViewId="0">
      <selection activeCell="B14" sqref="B14"/>
    </sheetView>
  </sheetViews>
  <sheetFormatPr defaultColWidth="13.75" defaultRowHeight="18.75" x14ac:dyDescent="0.15"/>
  <cols>
    <col min="1" max="1" width="14.75" style="1" customWidth="1"/>
    <col min="2" max="3" width="9.375" style="1" customWidth="1"/>
    <col min="4" max="4" width="4.125" style="1" customWidth="1"/>
    <col min="5" max="5" width="14.75" style="1" customWidth="1"/>
    <col min="6" max="9" width="9.375" style="1" customWidth="1"/>
    <col min="10" max="10" width="0" style="1" hidden="1" customWidth="1"/>
    <col min="11" max="19" width="13.75" style="1" hidden="1" customWidth="1"/>
    <col min="20" max="20" width="13.75" style="1" customWidth="1"/>
    <col min="21" max="16384" width="13.75" style="1"/>
  </cols>
  <sheetData>
    <row r="1" spans="1:20" s="3" customFormat="1" ht="19.5" x14ac:dyDescent="0.15">
      <c r="A1" s="2" t="s">
        <v>112</v>
      </c>
    </row>
    <row r="2" spans="1:20" x14ac:dyDescent="0.15">
      <c r="A2" s="4"/>
      <c r="K2" s="56" t="s">
        <v>63</v>
      </c>
    </row>
    <row r="3" spans="1:20" s="3" customFormat="1" ht="20.25" thickBot="1" x14ac:dyDescent="0.2">
      <c r="A3" s="5" t="s">
        <v>13</v>
      </c>
      <c r="B3" s="6"/>
      <c r="C3" s="6"/>
      <c r="E3" s="5" t="s">
        <v>113</v>
      </c>
      <c r="F3" s="6"/>
      <c r="G3" s="6"/>
      <c r="H3" s="6"/>
      <c r="I3" s="6"/>
      <c r="K3" s="387" t="s">
        <v>298</v>
      </c>
      <c r="L3" s="493" t="s">
        <v>362</v>
      </c>
      <c r="N3" s="387" t="s">
        <v>298</v>
      </c>
      <c r="O3" s="494" t="s">
        <v>276</v>
      </c>
      <c r="P3" s="387" t="s">
        <v>298</v>
      </c>
      <c r="Q3" s="494" t="s">
        <v>277</v>
      </c>
    </row>
    <row r="4" spans="1:20" ht="18" customHeight="1" thickTop="1" thickBot="1" x14ac:dyDescent="0.2">
      <c r="A4" s="258"/>
      <c r="B4" s="258" t="s">
        <v>0</v>
      </c>
      <c r="C4" s="258" t="s">
        <v>1</v>
      </c>
      <c r="E4" s="258"/>
      <c r="F4" s="258" t="s">
        <v>115</v>
      </c>
      <c r="G4" s="258" t="s">
        <v>117</v>
      </c>
      <c r="H4" s="258" t="s">
        <v>12</v>
      </c>
      <c r="I4" s="258" t="s">
        <v>1</v>
      </c>
      <c r="K4" s="430" t="s">
        <v>370</v>
      </c>
      <c r="L4" s="435" t="s">
        <v>581</v>
      </c>
      <c r="M4" s="436"/>
      <c r="N4" s="430" t="s">
        <v>370</v>
      </c>
      <c r="O4" s="435" t="s">
        <v>581</v>
      </c>
      <c r="P4" s="430" t="s">
        <v>370</v>
      </c>
      <c r="Q4" s="435" t="s">
        <v>581</v>
      </c>
    </row>
    <row r="5" spans="1:20" ht="18" customHeight="1" thickTop="1" x14ac:dyDescent="0.15">
      <c r="A5" s="298" t="s">
        <v>2</v>
      </c>
      <c r="B5" s="299">
        <f>IFERROR(VLOOKUP($A5,年齢区分[#All],2,FALSE),0)</f>
        <v>152</v>
      </c>
      <c r="C5" s="300">
        <f>IFERROR(B5/B$14,"-")</f>
        <v>9.9652527371664589E-3</v>
      </c>
      <c r="E5" s="298" t="s">
        <v>2</v>
      </c>
      <c r="F5" s="299">
        <f>IFERROR(VLOOKUP($A5,年齢区分＿寛解[#All],2,FALSE),0)</f>
        <v>9</v>
      </c>
      <c r="G5" s="299">
        <f>IFERROR(VLOOKUP($A5,年齢区分＿院内寛解[#All],2,FALSE),0)</f>
        <v>32</v>
      </c>
      <c r="H5" s="259">
        <f>SUM(F5:G5)</f>
        <v>41</v>
      </c>
      <c r="I5" s="300">
        <f>IFERROR(H5/H$14,"-")</f>
        <v>2.3216308040770101E-2</v>
      </c>
      <c r="J5" s="9"/>
      <c r="K5" s="495" t="s">
        <v>2</v>
      </c>
      <c r="L5" s="400">
        <v>152</v>
      </c>
      <c r="M5" s="437"/>
      <c r="N5" s="495" t="s">
        <v>2</v>
      </c>
      <c r="O5" s="400">
        <v>9</v>
      </c>
      <c r="P5" s="495" t="s">
        <v>2</v>
      </c>
      <c r="Q5" s="400">
        <v>32</v>
      </c>
      <c r="R5" s="9"/>
      <c r="S5" s="9"/>
      <c r="T5" s="9"/>
    </row>
    <row r="6" spans="1:20" ht="18" customHeight="1" x14ac:dyDescent="0.15">
      <c r="A6" s="298" t="s">
        <v>3</v>
      </c>
      <c r="B6" s="299">
        <f>IFERROR(VLOOKUP($A6,年齢区分[#All],2,FALSE),0)</f>
        <v>277</v>
      </c>
      <c r="C6" s="300">
        <f>IFERROR(B6/B$14,"-")</f>
        <v>1.8160361896020456E-2</v>
      </c>
      <c r="E6" s="298" t="s">
        <v>3</v>
      </c>
      <c r="F6" s="299">
        <f>IFERROR(VLOOKUP($A6,年齢区分＿寛解[#All],2,FALSE),0)</f>
        <v>19</v>
      </c>
      <c r="G6" s="299">
        <f>IFERROR(VLOOKUP($A6,年齢区分＿院内寛解[#All],2,FALSE),0)</f>
        <v>53</v>
      </c>
      <c r="H6" s="259">
        <f t="shared" ref="H6:H16" si="0">SUM(F6:G6)</f>
        <v>72</v>
      </c>
      <c r="I6" s="300">
        <f t="shared" ref="I6:I13" si="1">IFERROR(H6/H$14,"-")</f>
        <v>4.0770101925254813E-2</v>
      </c>
      <c r="J6" s="12"/>
      <c r="K6" s="431" t="s">
        <v>3</v>
      </c>
      <c r="L6" s="400">
        <v>277</v>
      </c>
      <c r="M6" s="438"/>
      <c r="N6" s="431" t="s">
        <v>3</v>
      </c>
      <c r="O6" s="400">
        <v>19</v>
      </c>
      <c r="P6" s="431" t="s">
        <v>3</v>
      </c>
      <c r="Q6" s="400">
        <v>53</v>
      </c>
      <c r="R6" s="9"/>
      <c r="S6" s="9"/>
      <c r="T6" s="9"/>
    </row>
    <row r="7" spans="1:20" ht="18" customHeight="1" x14ac:dyDescent="0.15">
      <c r="A7" s="298" t="s">
        <v>4</v>
      </c>
      <c r="B7" s="299">
        <f>IFERROR(VLOOKUP($A7,年齢区分[#All],2,FALSE),0)</f>
        <v>593</v>
      </c>
      <c r="C7" s="300">
        <f t="shared" ref="C7:C13" si="2">IFERROR(B7/B$14,"-")</f>
        <v>3.887759784960336E-2</v>
      </c>
      <c r="E7" s="298" t="s">
        <v>4</v>
      </c>
      <c r="F7" s="299">
        <f>IFERROR(VLOOKUP($A7,年齢区分＿寛解[#All],2,FALSE),0)</f>
        <v>25</v>
      </c>
      <c r="G7" s="299">
        <f>IFERROR(VLOOKUP($A7,年齢区分＿院内寛解[#All],2,FALSE),0)</f>
        <v>68</v>
      </c>
      <c r="H7" s="259">
        <f t="shared" si="0"/>
        <v>93</v>
      </c>
      <c r="I7" s="300">
        <f t="shared" si="1"/>
        <v>5.2661381653454131E-2</v>
      </c>
      <c r="J7" s="12"/>
      <c r="K7" s="431" t="s">
        <v>4</v>
      </c>
      <c r="L7" s="400">
        <v>593</v>
      </c>
      <c r="M7" s="438"/>
      <c r="N7" s="431" t="s">
        <v>4</v>
      </c>
      <c r="O7" s="400">
        <v>25</v>
      </c>
      <c r="P7" s="431" t="s">
        <v>4</v>
      </c>
      <c r="Q7" s="400">
        <v>68</v>
      </c>
      <c r="R7" s="9"/>
      <c r="S7" s="9"/>
      <c r="T7" s="9"/>
    </row>
    <row r="8" spans="1:20" ht="18" customHeight="1" x14ac:dyDescent="0.15">
      <c r="A8" s="298" t="s">
        <v>5</v>
      </c>
      <c r="B8" s="299">
        <f>IFERROR(VLOOKUP($A8,年齢区分[#All],2,FALSE),0)</f>
        <v>1404</v>
      </c>
      <c r="C8" s="300">
        <f t="shared" si="2"/>
        <v>9.2047466072248077E-2</v>
      </c>
      <c r="E8" s="298" t="s">
        <v>5</v>
      </c>
      <c r="F8" s="299">
        <f>IFERROR(VLOOKUP($A8,年齢区分＿寛解[#All],2,FALSE),0)</f>
        <v>54</v>
      </c>
      <c r="G8" s="299">
        <f>IFERROR(VLOOKUP($A8,年齢区分＿院内寛解[#All],2,FALSE),0)</f>
        <v>183</v>
      </c>
      <c r="H8" s="259">
        <f t="shared" si="0"/>
        <v>237</v>
      </c>
      <c r="I8" s="300">
        <f t="shared" si="1"/>
        <v>0.13420158550396377</v>
      </c>
      <c r="J8" s="9"/>
      <c r="K8" s="431" t="s">
        <v>5</v>
      </c>
      <c r="L8" s="400">
        <v>1404</v>
      </c>
      <c r="M8" s="439"/>
      <c r="N8" s="431" t="s">
        <v>5</v>
      </c>
      <c r="O8" s="400">
        <v>54</v>
      </c>
      <c r="P8" s="431" t="s">
        <v>5</v>
      </c>
      <c r="Q8" s="400">
        <v>183</v>
      </c>
      <c r="R8" s="9"/>
      <c r="S8" s="9"/>
      <c r="T8" s="9"/>
    </row>
    <row r="9" spans="1:20" ht="18" customHeight="1" x14ac:dyDescent="0.15">
      <c r="A9" s="298" t="s">
        <v>6</v>
      </c>
      <c r="B9" s="299">
        <f>IFERROR(VLOOKUP($A9,年齢区分[#All],2,FALSE),0)</f>
        <v>2424</v>
      </c>
      <c r="C9" s="300">
        <f t="shared" si="2"/>
        <v>0.15891955680849668</v>
      </c>
      <c r="E9" s="298" t="s">
        <v>6</v>
      </c>
      <c r="F9" s="299">
        <f>IFERROR(VLOOKUP($A9,年齢区分＿寛解[#All],2,FALSE),0)</f>
        <v>54</v>
      </c>
      <c r="G9" s="299">
        <f>IFERROR(VLOOKUP($A9,年齢区分＿院内寛解[#All],2,FALSE),0)</f>
        <v>271</v>
      </c>
      <c r="H9" s="259">
        <f t="shared" si="0"/>
        <v>325</v>
      </c>
      <c r="I9" s="300">
        <f t="shared" si="1"/>
        <v>0.18403171007927518</v>
      </c>
      <c r="J9" s="9"/>
      <c r="K9" s="431" t="s">
        <v>6</v>
      </c>
      <c r="L9" s="400">
        <v>2424</v>
      </c>
      <c r="M9" s="439"/>
      <c r="N9" s="431" t="s">
        <v>6</v>
      </c>
      <c r="O9" s="400">
        <v>54</v>
      </c>
      <c r="P9" s="431" t="s">
        <v>6</v>
      </c>
      <c r="Q9" s="400">
        <v>271</v>
      </c>
      <c r="R9" s="9"/>
      <c r="S9" s="9"/>
      <c r="T9" s="9"/>
    </row>
    <row r="10" spans="1:20" ht="18" customHeight="1" x14ac:dyDescent="0.15">
      <c r="A10" s="298" t="s">
        <v>7</v>
      </c>
      <c r="B10" s="299">
        <f>IFERROR(VLOOKUP($A10,年齢区分[#All],2,FALSE),0)</f>
        <v>2616</v>
      </c>
      <c r="C10" s="300">
        <f t="shared" si="2"/>
        <v>0.17150724447649643</v>
      </c>
      <c r="E10" s="298" t="s">
        <v>7</v>
      </c>
      <c r="F10" s="299">
        <f>IFERROR(VLOOKUP($A10,年齢区分＿寛解[#All],2,FALSE),0)</f>
        <v>54</v>
      </c>
      <c r="G10" s="299">
        <f>IFERROR(VLOOKUP($A10,年齢区分＿院内寛解[#All],2,FALSE),0)</f>
        <v>246</v>
      </c>
      <c r="H10" s="259">
        <f t="shared" si="0"/>
        <v>300</v>
      </c>
      <c r="I10" s="300">
        <f t="shared" si="1"/>
        <v>0.16987542468856173</v>
      </c>
      <c r="J10" s="9"/>
      <c r="K10" s="431" t="s">
        <v>7</v>
      </c>
      <c r="L10" s="400">
        <v>2616</v>
      </c>
      <c r="M10" s="439"/>
      <c r="N10" s="431" t="s">
        <v>7</v>
      </c>
      <c r="O10" s="400">
        <v>54</v>
      </c>
      <c r="P10" s="431" t="s">
        <v>7</v>
      </c>
      <c r="Q10" s="400">
        <v>246</v>
      </c>
      <c r="R10" s="9"/>
      <c r="S10" s="9"/>
      <c r="T10" s="9"/>
    </row>
    <row r="11" spans="1:20" ht="18" customHeight="1" x14ac:dyDescent="0.15">
      <c r="A11" s="298" t="s">
        <v>8</v>
      </c>
      <c r="B11" s="299">
        <f>IFERROR(VLOOKUP($A11,年齢区分[#All],2,FALSE),0)</f>
        <v>3931</v>
      </c>
      <c r="C11" s="300">
        <f t="shared" si="2"/>
        <v>0.25771979282764046</v>
      </c>
      <c r="E11" s="298" t="s">
        <v>8</v>
      </c>
      <c r="F11" s="299">
        <f>IFERROR(VLOOKUP($A11,年齢区分＿寛解[#All],2,FALSE),0)</f>
        <v>77</v>
      </c>
      <c r="G11" s="299">
        <f>IFERROR(VLOOKUP($A11,年齢区分＿院内寛解[#All],2,FALSE),0)</f>
        <v>330</v>
      </c>
      <c r="H11" s="259">
        <f t="shared" si="0"/>
        <v>407</v>
      </c>
      <c r="I11" s="300">
        <f t="shared" si="1"/>
        <v>0.23046432616081541</v>
      </c>
      <c r="J11" s="9"/>
      <c r="K11" s="431" t="s">
        <v>8</v>
      </c>
      <c r="L11" s="400">
        <v>3931</v>
      </c>
      <c r="M11" s="439"/>
      <c r="N11" s="431" t="s">
        <v>8</v>
      </c>
      <c r="O11" s="400">
        <v>77</v>
      </c>
      <c r="P11" s="431" t="s">
        <v>8</v>
      </c>
      <c r="Q11" s="400">
        <v>330</v>
      </c>
      <c r="R11" s="9"/>
      <c r="S11" s="9"/>
      <c r="T11" s="9"/>
    </row>
    <row r="12" spans="1:20" ht="18" customHeight="1" x14ac:dyDescent="0.15">
      <c r="A12" s="298" t="s">
        <v>9</v>
      </c>
      <c r="B12" s="299">
        <f>IFERROR(VLOOKUP($A12,年齢区分[#All],2,FALSE),0)</f>
        <v>3148</v>
      </c>
      <c r="C12" s="300">
        <f t="shared" si="2"/>
        <v>0.20638562905657903</v>
      </c>
      <c r="E12" s="298" t="s">
        <v>9</v>
      </c>
      <c r="F12" s="299">
        <f>IFERROR(VLOOKUP($A12,年齢区分＿寛解[#All],2,FALSE),0)</f>
        <v>42</v>
      </c>
      <c r="G12" s="299">
        <f>IFERROR(VLOOKUP($A12,年齢区分＿院内寛解[#All],2,FALSE),0)</f>
        <v>206</v>
      </c>
      <c r="H12" s="259">
        <f t="shared" si="0"/>
        <v>248</v>
      </c>
      <c r="I12" s="300">
        <f t="shared" si="1"/>
        <v>0.1404303510758777</v>
      </c>
      <c r="J12" s="9"/>
      <c r="K12" s="431" t="s">
        <v>9</v>
      </c>
      <c r="L12" s="400">
        <v>3148</v>
      </c>
      <c r="M12" s="439"/>
      <c r="N12" s="431" t="s">
        <v>9</v>
      </c>
      <c r="O12" s="400">
        <v>42</v>
      </c>
      <c r="P12" s="431" t="s">
        <v>9</v>
      </c>
      <c r="Q12" s="400">
        <v>206</v>
      </c>
      <c r="R12" s="9"/>
      <c r="S12" s="9"/>
      <c r="T12" s="9"/>
    </row>
    <row r="13" spans="1:20" ht="18" customHeight="1" x14ac:dyDescent="0.15">
      <c r="A13" s="298" t="s">
        <v>10</v>
      </c>
      <c r="B13" s="299">
        <f>IFERROR(VLOOKUP($A13,年齢区分[#All],2,FALSE),0)</f>
        <v>708</v>
      </c>
      <c r="C13" s="300">
        <f t="shared" si="2"/>
        <v>4.6417098275749032E-2</v>
      </c>
      <c r="E13" s="298" t="s">
        <v>10</v>
      </c>
      <c r="F13" s="299">
        <f>IFERROR(VLOOKUP($A13,年齢区分＿寛解[#All],2,FALSE),0)</f>
        <v>5</v>
      </c>
      <c r="G13" s="299">
        <f>IFERROR(VLOOKUP($A13,年齢区分＿院内寛解[#All],2,FALSE),0)</f>
        <v>38</v>
      </c>
      <c r="H13" s="259">
        <f t="shared" si="0"/>
        <v>43</v>
      </c>
      <c r="I13" s="300">
        <f t="shared" si="1"/>
        <v>2.4348810872027182E-2</v>
      </c>
      <c r="J13" s="9"/>
      <c r="K13" s="431" t="s">
        <v>10</v>
      </c>
      <c r="L13" s="400">
        <v>708</v>
      </c>
      <c r="M13" s="439"/>
      <c r="N13" s="431" t="s">
        <v>10</v>
      </c>
      <c r="O13" s="400">
        <v>5</v>
      </c>
      <c r="P13" s="431" t="s">
        <v>10</v>
      </c>
      <c r="Q13" s="400">
        <v>38</v>
      </c>
      <c r="R13" s="9"/>
      <c r="S13" s="9"/>
      <c r="T13" s="9"/>
    </row>
    <row r="14" spans="1:20" ht="18" customHeight="1" thickBot="1" x14ac:dyDescent="0.2">
      <c r="A14" s="301" t="s">
        <v>262</v>
      </c>
      <c r="B14" s="262">
        <f t="shared" ref="B14" si="3">SUM(B5:B13)</f>
        <v>15253</v>
      </c>
      <c r="C14" s="263">
        <f>SUM(C5:C13)</f>
        <v>1</v>
      </c>
      <c r="E14" s="301" t="s">
        <v>11</v>
      </c>
      <c r="F14" s="262">
        <f t="shared" ref="F14:G14" si="4">SUM(F5:F13)</f>
        <v>339</v>
      </c>
      <c r="G14" s="262">
        <f t="shared" si="4"/>
        <v>1427</v>
      </c>
      <c r="H14" s="262">
        <f>SUM(H5:H13)</f>
        <v>1766</v>
      </c>
      <c r="I14" s="263">
        <f>SUM(I5:I13)</f>
        <v>1</v>
      </c>
      <c r="J14" s="9"/>
      <c r="K14" s="431" t="s">
        <v>588</v>
      </c>
      <c r="L14" s="400"/>
      <c r="M14" s="439"/>
      <c r="N14" s="432"/>
      <c r="O14" s="433"/>
      <c r="P14" s="432"/>
      <c r="Q14" s="433"/>
      <c r="R14" s="9"/>
      <c r="S14" s="9"/>
      <c r="T14" s="9"/>
    </row>
    <row r="15" spans="1:20" ht="18" customHeight="1" thickTop="1" thickBot="1" x14ac:dyDescent="0.2">
      <c r="A15" s="378" t="s">
        <v>90</v>
      </c>
      <c r="B15" s="303">
        <f>B14-B16</f>
        <v>6058</v>
      </c>
      <c r="C15" s="471">
        <f>IFERROR(B15/B$14,"-")</f>
        <v>0.39716777027470007</v>
      </c>
      <c r="D15" s="22"/>
      <c r="E15" s="378" t="s">
        <v>90</v>
      </c>
      <c r="F15" s="303">
        <f>F14-F16</f>
        <v>188</v>
      </c>
      <c r="G15" s="303">
        <f>G14-G16</f>
        <v>734</v>
      </c>
      <c r="H15" s="259">
        <f t="shared" si="0"/>
        <v>922</v>
      </c>
      <c r="I15" s="471">
        <f>IFERROR(H15/H$14,"-")</f>
        <v>0.52208380520951303</v>
      </c>
      <c r="J15" s="9"/>
      <c r="K15" s="434" t="s">
        <v>89</v>
      </c>
      <c r="L15" s="504">
        <v>9195</v>
      </c>
      <c r="M15" s="440"/>
      <c r="N15" s="434" t="s">
        <v>89</v>
      </c>
      <c r="O15" s="504">
        <v>151</v>
      </c>
      <c r="P15" s="434" t="s">
        <v>89</v>
      </c>
      <c r="Q15" s="504">
        <v>693</v>
      </c>
      <c r="R15" s="9"/>
      <c r="S15" s="9"/>
      <c r="T15" s="9"/>
    </row>
    <row r="16" spans="1:20" ht="18" customHeight="1" thickTop="1" x14ac:dyDescent="0.15">
      <c r="A16" s="378" t="s">
        <v>89</v>
      </c>
      <c r="B16" s="303">
        <f>L15</f>
        <v>9195</v>
      </c>
      <c r="C16" s="471">
        <f>IFERROR(B16/B$14,"-")</f>
        <v>0.60283222972529993</v>
      </c>
      <c r="D16" s="22"/>
      <c r="E16" s="378" t="s">
        <v>89</v>
      </c>
      <c r="F16" s="299">
        <f>O15</f>
        <v>151</v>
      </c>
      <c r="G16" s="299">
        <f>Q15</f>
        <v>693</v>
      </c>
      <c r="H16" s="299">
        <f t="shared" si="0"/>
        <v>844</v>
      </c>
      <c r="I16" s="471">
        <f>IFERROR(H16/H$14,"-")</f>
        <v>0.47791619479048697</v>
      </c>
      <c r="J16" s="9"/>
      <c r="K16" s="9"/>
      <c r="L16" s="25"/>
      <c r="M16" s="25"/>
      <c r="N16" s="19"/>
      <c r="O16" s="9"/>
      <c r="P16" s="9"/>
      <c r="Q16" s="9"/>
      <c r="R16" s="9"/>
      <c r="S16" s="9"/>
      <c r="T16" s="9"/>
    </row>
    <row r="17" spans="4:20" x14ac:dyDescent="0.15">
      <c r="D17" s="22"/>
      <c r="H17" s="22"/>
      <c r="J17" s="9"/>
      <c r="K17" s="15"/>
      <c r="L17" s="9"/>
      <c r="M17" s="9"/>
      <c r="N17" s="19"/>
      <c r="O17" s="9"/>
      <c r="P17" s="9"/>
      <c r="Q17" s="9"/>
      <c r="R17" s="9"/>
      <c r="S17" s="9"/>
      <c r="T17" s="9"/>
    </row>
    <row r="18" spans="4:20" ht="28.5" customHeight="1" x14ac:dyDescent="0.15">
      <c r="J18" s="9"/>
      <c r="K18" s="10"/>
      <c r="L18" s="11"/>
      <c r="M18" s="11"/>
      <c r="N18" s="26"/>
      <c r="O18" s="11"/>
      <c r="P18" s="11"/>
      <c r="Q18" s="11"/>
      <c r="R18" s="9"/>
      <c r="S18" s="9"/>
      <c r="T18" s="9"/>
    </row>
    <row r="19" spans="4:20" x14ac:dyDescent="0.15">
      <c r="J19" s="9"/>
      <c r="K19" s="27"/>
      <c r="L19" s="13"/>
      <c r="M19" s="14"/>
      <c r="N19" s="28"/>
      <c r="O19" s="13"/>
      <c r="P19" s="13"/>
      <c r="Q19" s="14"/>
      <c r="R19" s="12"/>
      <c r="S19" s="9"/>
      <c r="T19" s="9"/>
    </row>
    <row r="20" spans="4:20" x14ac:dyDescent="0.15">
      <c r="J20" s="9"/>
      <c r="K20" s="27"/>
      <c r="L20" s="13"/>
      <c r="M20" s="14"/>
      <c r="N20" s="27"/>
      <c r="O20" s="13"/>
      <c r="P20" s="13"/>
      <c r="Q20" s="14"/>
      <c r="R20" s="12"/>
      <c r="S20" s="9"/>
      <c r="T20" s="9"/>
    </row>
    <row r="21" spans="4:20" x14ac:dyDescent="0.15">
      <c r="J21" s="9"/>
      <c r="K21" s="15"/>
      <c r="L21" s="16"/>
      <c r="M21" s="17"/>
      <c r="N21" s="15"/>
      <c r="O21" s="16"/>
      <c r="P21" s="16"/>
      <c r="Q21" s="17"/>
      <c r="R21" s="9"/>
      <c r="S21" s="9"/>
      <c r="T21" s="9"/>
    </row>
    <row r="22" spans="4:20" x14ac:dyDescent="0.15">
      <c r="J22" s="9"/>
      <c r="K22" s="15"/>
      <c r="L22" s="16"/>
      <c r="M22" s="17"/>
      <c r="N22" s="15"/>
      <c r="O22" s="16"/>
      <c r="P22" s="16"/>
      <c r="Q22" s="17"/>
      <c r="R22" s="9"/>
      <c r="S22" s="9"/>
      <c r="T22" s="9"/>
    </row>
    <row r="23" spans="4:20" x14ac:dyDescent="0.15">
      <c r="J23" s="9"/>
      <c r="K23" s="15"/>
      <c r="L23" s="16"/>
      <c r="M23" s="17"/>
      <c r="N23" s="15"/>
      <c r="O23" s="16"/>
      <c r="P23" s="16"/>
      <c r="Q23" s="17"/>
      <c r="R23" s="9"/>
      <c r="S23" s="9"/>
      <c r="T23" s="9"/>
    </row>
    <row r="24" spans="4:20" x14ac:dyDescent="0.15">
      <c r="J24" s="9"/>
      <c r="K24" s="15"/>
      <c r="L24" s="16"/>
      <c r="M24" s="17"/>
      <c r="N24" s="15"/>
      <c r="O24" s="16"/>
      <c r="P24" s="16"/>
      <c r="Q24" s="17"/>
      <c r="R24" s="9"/>
      <c r="S24" s="9"/>
      <c r="T24" s="9"/>
    </row>
    <row r="25" spans="4:20" x14ac:dyDescent="0.15">
      <c r="J25" s="9"/>
      <c r="K25" s="15"/>
      <c r="L25" s="16"/>
      <c r="M25" s="17"/>
      <c r="N25" s="15"/>
      <c r="O25" s="16"/>
      <c r="P25" s="16"/>
      <c r="Q25" s="17"/>
      <c r="R25" s="9"/>
      <c r="S25" s="9"/>
      <c r="T25" s="9"/>
    </row>
    <row r="26" spans="4:20" x14ac:dyDescent="0.15">
      <c r="J26" s="9"/>
      <c r="K26" s="15"/>
      <c r="L26" s="16"/>
      <c r="M26" s="17"/>
      <c r="N26" s="15"/>
      <c r="O26" s="16"/>
      <c r="P26" s="16"/>
      <c r="Q26" s="17"/>
      <c r="R26" s="9"/>
      <c r="S26" s="9"/>
      <c r="T26" s="9"/>
    </row>
    <row r="27" spans="4:20" x14ac:dyDescent="0.15">
      <c r="J27" s="12"/>
      <c r="K27" s="27"/>
      <c r="L27" s="13"/>
      <c r="M27" s="14"/>
      <c r="N27" s="27"/>
      <c r="O27" s="13"/>
      <c r="P27" s="13"/>
      <c r="Q27" s="14"/>
      <c r="R27" s="12"/>
      <c r="S27" s="12"/>
      <c r="T27" s="12"/>
    </row>
    <row r="28" spans="4:20" x14ac:dyDescent="0.15">
      <c r="J28" s="12"/>
      <c r="K28" s="29"/>
      <c r="L28" s="30"/>
      <c r="M28" s="31"/>
      <c r="N28" s="29"/>
      <c r="O28" s="30"/>
      <c r="P28" s="30"/>
      <c r="Q28" s="31"/>
      <c r="R28" s="12"/>
      <c r="S28" s="12"/>
      <c r="T28" s="12"/>
    </row>
    <row r="29" spans="4:20" x14ac:dyDescent="0.15">
      <c r="J29" s="12"/>
      <c r="K29" s="12"/>
      <c r="L29" s="12"/>
      <c r="M29" s="12"/>
      <c r="N29" s="27"/>
      <c r="O29" s="12"/>
      <c r="P29" s="12"/>
      <c r="Q29" s="12"/>
      <c r="R29" s="12"/>
      <c r="S29" s="12"/>
      <c r="T29" s="12"/>
    </row>
    <row r="30" spans="4:20" x14ac:dyDescent="0.15">
      <c r="J30" s="12"/>
      <c r="K30" s="12"/>
      <c r="L30" s="12"/>
      <c r="M30" s="12"/>
      <c r="N30" s="10"/>
      <c r="O30" s="11"/>
      <c r="P30" s="11"/>
      <c r="Q30" s="11"/>
      <c r="R30" s="12"/>
      <c r="S30" s="12"/>
      <c r="T30" s="12"/>
    </row>
    <row r="31" spans="4:20" x14ac:dyDescent="0.15">
      <c r="J31" s="12"/>
      <c r="K31" s="12"/>
      <c r="L31" s="12"/>
      <c r="M31" s="12"/>
      <c r="N31" s="27"/>
      <c r="O31" s="13"/>
      <c r="P31" s="13"/>
      <c r="Q31" s="14"/>
      <c r="R31" s="12"/>
      <c r="S31" s="12"/>
      <c r="T31" s="12"/>
    </row>
    <row r="32" spans="4:20" x14ac:dyDescent="0.15">
      <c r="J32" s="12"/>
      <c r="K32" s="12"/>
      <c r="L32" s="12"/>
      <c r="M32" s="12"/>
      <c r="N32" s="27"/>
      <c r="O32" s="13"/>
      <c r="P32" s="13"/>
      <c r="Q32" s="14"/>
      <c r="R32" s="12"/>
      <c r="S32" s="12"/>
      <c r="T32" s="12"/>
    </row>
    <row r="33" spans="10:20" x14ac:dyDescent="0.15">
      <c r="J33" s="12"/>
      <c r="K33" s="12"/>
      <c r="L33" s="12"/>
      <c r="M33" s="12"/>
      <c r="N33" s="27"/>
      <c r="O33" s="13"/>
      <c r="P33" s="13"/>
      <c r="Q33" s="14"/>
      <c r="R33" s="12"/>
      <c r="S33" s="12"/>
      <c r="T33" s="12"/>
    </row>
    <row r="34" spans="10:20" x14ac:dyDescent="0.15">
      <c r="J34" s="12"/>
      <c r="K34" s="12"/>
      <c r="L34" s="12"/>
      <c r="M34" s="12"/>
      <c r="N34" s="27"/>
      <c r="O34" s="13"/>
      <c r="P34" s="13"/>
      <c r="Q34" s="14"/>
      <c r="R34" s="12"/>
      <c r="S34" s="12"/>
      <c r="T34" s="12"/>
    </row>
    <row r="35" spans="10:20" x14ac:dyDescent="0.15">
      <c r="J35" s="9"/>
      <c r="K35" s="9"/>
      <c r="L35" s="9"/>
      <c r="M35" s="9"/>
      <c r="N35" s="15"/>
      <c r="O35" s="16"/>
      <c r="P35" s="16"/>
      <c r="Q35" s="17"/>
      <c r="R35" s="9"/>
      <c r="S35" s="9"/>
      <c r="T35" s="9"/>
    </row>
    <row r="36" spans="10:20" x14ac:dyDescent="0.15">
      <c r="J36" s="9"/>
      <c r="K36" s="9"/>
      <c r="L36" s="9"/>
      <c r="M36" s="9"/>
      <c r="N36" s="15"/>
      <c r="O36" s="16"/>
      <c r="P36" s="16"/>
      <c r="Q36" s="17"/>
      <c r="R36" s="9"/>
      <c r="S36" s="9"/>
      <c r="T36" s="9"/>
    </row>
    <row r="37" spans="10:20" x14ac:dyDescent="0.15">
      <c r="J37" s="9"/>
      <c r="K37" s="9"/>
      <c r="L37" s="9"/>
      <c r="M37" s="9"/>
      <c r="N37" s="15"/>
      <c r="O37" s="16"/>
      <c r="P37" s="16"/>
      <c r="Q37" s="17"/>
      <c r="R37" s="9"/>
      <c r="S37" s="9"/>
      <c r="T37" s="9"/>
    </row>
    <row r="38" spans="10:20" x14ac:dyDescent="0.15">
      <c r="J38" s="9"/>
      <c r="K38" s="9"/>
      <c r="L38" s="9"/>
      <c r="M38" s="9"/>
      <c r="N38" s="15"/>
      <c r="O38" s="16"/>
      <c r="P38" s="16"/>
      <c r="Q38" s="17"/>
      <c r="R38" s="9"/>
      <c r="S38" s="9"/>
      <c r="T38" s="9"/>
    </row>
    <row r="39" spans="10:20" x14ac:dyDescent="0.15">
      <c r="J39" s="9"/>
      <c r="K39" s="9"/>
      <c r="L39" s="9"/>
      <c r="M39" s="9"/>
      <c r="N39" s="27"/>
      <c r="O39" s="13"/>
      <c r="P39" s="13"/>
      <c r="Q39" s="14"/>
      <c r="R39" s="12"/>
      <c r="S39" s="9"/>
      <c r="T39" s="9"/>
    </row>
    <row r="40" spans="10:20" x14ac:dyDescent="0.15">
      <c r="J40" s="9"/>
      <c r="K40" s="9"/>
      <c r="L40" s="9"/>
      <c r="M40" s="9"/>
      <c r="N40" s="29"/>
      <c r="O40" s="30"/>
      <c r="P40" s="30"/>
      <c r="Q40" s="31"/>
      <c r="R40" s="12"/>
      <c r="S40" s="9"/>
      <c r="T40" s="9"/>
    </row>
    <row r="41" spans="10:20" x14ac:dyDescent="0.15">
      <c r="J41" s="9"/>
      <c r="K41" s="9"/>
      <c r="L41" s="9"/>
      <c r="M41" s="9"/>
      <c r="N41" s="9"/>
      <c r="O41" s="9"/>
      <c r="P41" s="9"/>
      <c r="Q41" s="9"/>
      <c r="R41" s="9"/>
      <c r="S41" s="9"/>
      <c r="T41" s="9"/>
    </row>
    <row r="42" spans="10:20" x14ac:dyDescent="0.15">
      <c r="J42" s="9"/>
      <c r="K42" s="9"/>
      <c r="L42" s="9"/>
      <c r="M42" s="9"/>
      <c r="N42" s="9"/>
      <c r="O42" s="9"/>
      <c r="P42" s="9"/>
      <c r="Q42" s="9"/>
      <c r="R42" s="9"/>
      <c r="S42" s="9"/>
      <c r="T42" s="9"/>
    </row>
    <row r="43" spans="10:20" x14ac:dyDescent="0.15">
      <c r="J43" s="9"/>
      <c r="K43" s="9"/>
      <c r="L43" s="9"/>
      <c r="M43" s="9"/>
      <c r="N43" s="9"/>
      <c r="O43" s="9"/>
      <c r="P43" s="9"/>
      <c r="Q43" s="9"/>
      <c r="R43" s="9"/>
      <c r="S43" s="9"/>
      <c r="T43" s="9"/>
    </row>
    <row r="44" spans="10:20" x14ac:dyDescent="0.15">
      <c r="J44" s="9"/>
      <c r="K44" s="9"/>
      <c r="L44" s="9"/>
      <c r="M44" s="9"/>
      <c r="N44" s="9"/>
      <c r="O44" s="9"/>
      <c r="P44" s="9"/>
      <c r="Q44" s="9"/>
      <c r="R44" s="9"/>
      <c r="S44" s="9"/>
      <c r="T44" s="9"/>
    </row>
    <row r="45" spans="10:20" x14ac:dyDescent="0.15">
      <c r="J45" s="9"/>
      <c r="K45" s="9"/>
      <c r="L45" s="9"/>
      <c r="M45" s="9"/>
      <c r="N45" s="9"/>
      <c r="O45" s="9"/>
      <c r="P45" s="9"/>
      <c r="Q45" s="9"/>
      <c r="R45" s="9"/>
      <c r="S45" s="9"/>
      <c r="T45" s="9"/>
    </row>
    <row r="46" spans="10:20" x14ac:dyDescent="0.15">
      <c r="J46" s="9"/>
      <c r="K46" s="15"/>
      <c r="L46" s="32"/>
      <c r="M46" s="32"/>
      <c r="N46" s="32"/>
      <c r="O46" s="32"/>
      <c r="P46" s="32"/>
      <c r="Q46" s="32"/>
      <c r="R46" s="32"/>
      <c r="S46" s="32"/>
      <c r="T46" s="9"/>
    </row>
    <row r="47" spans="10:20" x14ac:dyDescent="0.15">
      <c r="J47" s="9"/>
      <c r="K47" s="15"/>
      <c r="L47" s="32"/>
      <c r="M47" s="32"/>
      <c r="N47" s="32"/>
      <c r="O47" s="32"/>
      <c r="P47" s="32"/>
      <c r="Q47" s="32"/>
      <c r="R47" s="32"/>
      <c r="S47" s="32"/>
      <c r="T47" s="9"/>
    </row>
    <row r="48" spans="10:20" x14ac:dyDescent="0.15">
      <c r="J48" s="9"/>
      <c r="K48" s="15"/>
      <c r="L48" s="32"/>
      <c r="M48" s="32"/>
      <c r="N48" s="32"/>
      <c r="O48" s="32"/>
      <c r="P48" s="32"/>
      <c r="Q48" s="32"/>
      <c r="R48" s="32"/>
      <c r="S48" s="32"/>
      <c r="T48" s="9"/>
    </row>
    <row r="49" spans="10:20" x14ac:dyDescent="0.15">
      <c r="J49" s="9"/>
      <c r="K49" s="9"/>
      <c r="L49" s="9"/>
      <c r="M49" s="9"/>
      <c r="N49" s="9"/>
      <c r="O49" s="9"/>
      <c r="P49" s="9"/>
      <c r="Q49" s="9"/>
      <c r="R49" s="9"/>
      <c r="S49" s="9"/>
      <c r="T49" s="9"/>
    </row>
  </sheetData>
  <phoneticPr fontId="2"/>
  <pageMargins left="0.70866141732283472" right="0.70866141732283472" top="0.74803149606299213" bottom="0.74803149606299213" header="0.31496062992125984" footer="0.31496062992125984"/>
  <pageSetup paperSize="9" orientation="landscape" r:id="rId1"/>
  <ignoredErrors>
    <ignoredError sqref="H14:I1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データ削除1">
                <anchor moveWithCells="1" sizeWithCells="1">
                  <from>
                    <xdr:col>17</xdr:col>
                    <xdr:colOff>257175</xdr:colOff>
                    <xdr:row>1</xdr:row>
                    <xdr:rowOff>238125</xdr:rowOff>
                  </from>
                  <to>
                    <xdr:col>18</xdr:col>
                    <xdr:colOff>476250</xdr:colOff>
                    <xdr:row>3</xdr:row>
                    <xdr:rowOff>161925</xdr:rowOff>
                  </to>
                </anchor>
              </controlPr>
            </control>
          </mc:Choice>
        </mc:AlternateContent>
      </controls>
    </mc:Choice>
  </mc:AlternateContent>
  <tableParts count="3">
    <tablePart r:id="rId5"/>
    <tablePart r:id="rId6"/>
    <tablePart r:id="rId7"/>
  </tablePar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FF0000"/>
    <pageSetUpPr fitToPage="1"/>
  </sheetPr>
  <dimension ref="B1:AY69"/>
  <sheetViews>
    <sheetView showGridLines="0" zoomScale="60" zoomScaleNormal="60" zoomScaleSheetLayoutView="80" zoomScalePageLayoutView="80" workbookViewId="0">
      <selection activeCell="I62" sqref="I62"/>
    </sheetView>
  </sheetViews>
  <sheetFormatPr defaultRowHeight="18.75" x14ac:dyDescent="0.15"/>
  <cols>
    <col min="1" max="1" width="3.375" style="1" customWidth="1"/>
    <col min="2" max="2" width="40" style="1" customWidth="1"/>
    <col min="3" max="10" width="9.375" style="1" customWidth="1"/>
    <col min="11" max="11" width="9.125" style="1" hidden="1" customWidth="1"/>
    <col min="12" max="12" width="45.5" style="1" hidden="1" customWidth="1"/>
    <col min="13" max="28" width="11.125" style="1" hidden="1" customWidth="1"/>
    <col min="29" max="29" width="9.125" style="1" hidden="1" customWidth="1"/>
    <col min="30" max="32" width="9" style="1" hidden="1" customWidth="1"/>
    <col min="33" max="34" width="9" style="1" customWidth="1"/>
    <col min="35" max="46" width="9" style="1" hidden="1" customWidth="1"/>
    <col min="47" max="52" width="0" style="1" hidden="1" customWidth="1"/>
    <col min="53" max="16384" width="9" style="1"/>
  </cols>
  <sheetData>
    <row r="1" spans="2:51" ht="19.5" customHeight="1" x14ac:dyDescent="0.15">
      <c r="B1" s="2" t="s">
        <v>78</v>
      </c>
    </row>
    <row r="2" spans="2:51" ht="18.75" customHeight="1" thickBot="1" x14ac:dyDescent="0.2">
      <c r="B2" s="675" t="s">
        <v>240</v>
      </c>
      <c r="C2" s="695" t="s">
        <v>64</v>
      </c>
      <c r="D2" s="696"/>
      <c r="E2" s="696"/>
      <c r="F2" s="696"/>
      <c r="G2" s="696"/>
      <c r="H2" s="696"/>
      <c r="I2" s="696"/>
      <c r="J2" s="697"/>
      <c r="L2" s="53" t="s">
        <v>63</v>
      </c>
    </row>
    <row r="3" spans="2:51" ht="18.75" customHeight="1" thickTop="1" thickBot="1" x14ac:dyDescent="0.2">
      <c r="B3" s="694"/>
      <c r="C3" s="698" t="s">
        <v>69</v>
      </c>
      <c r="D3" s="699"/>
      <c r="E3" s="700" t="s">
        <v>270</v>
      </c>
      <c r="F3" s="701"/>
      <c r="G3" s="700" t="s">
        <v>271</v>
      </c>
      <c r="H3" s="701"/>
      <c r="I3" s="698" t="s">
        <v>72</v>
      </c>
      <c r="J3" s="699"/>
      <c r="L3" s="502" t="s">
        <v>370</v>
      </c>
      <c r="M3" s="56" t="s">
        <v>182</v>
      </c>
      <c r="N3" s="56" t="s">
        <v>183</v>
      </c>
      <c r="O3" s="56" t="s">
        <v>184</v>
      </c>
      <c r="P3" s="56" t="s">
        <v>185</v>
      </c>
      <c r="Q3" s="56" t="s">
        <v>186</v>
      </c>
      <c r="R3" s="56" t="s">
        <v>187</v>
      </c>
      <c r="S3" s="56" t="s">
        <v>188</v>
      </c>
      <c r="T3" s="56" t="s">
        <v>189</v>
      </c>
      <c r="U3" s="56" t="s">
        <v>190</v>
      </c>
      <c r="V3" s="56" t="s">
        <v>191</v>
      </c>
      <c r="W3" s="56" t="s">
        <v>192</v>
      </c>
      <c r="X3" s="56" t="s">
        <v>193</v>
      </c>
      <c r="Y3" s="56" t="s">
        <v>194</v>
      </c>
      <c r="Z3" s="56" t="s">
        <v>195</v>
      </c>
      <c r="AA3" s="56" t="s">
        <v>196</v>
      </c>
      <c r="AB3" s="56" t="s">
        <v>197</v>
      </c>
    </row>
    <row r="4" spans="2:51" ht="37.5" customHeight="1" thickTop="1" x14ac:dyDescent="0.15">
      <c r="B4" s="108" t="s">
        <v>231</v>
      </c>
      <c r="C4" s="109">
        <f>IFERROR(INDEX(退院予定有無×在院期間区分[#All],MATCH($AI5,退院予定有無×在院期間区分[[#All],[行ラベル]],0),MATCH($AJ$4,退院予定有無×在院期間区分[#Headers],0)),)+IFERROR(INDEX(退院予定有無×在院期間区分[#All],MATCH($AI5,退院予定有無×在院期間区分[[#All],[行ラベル]],0),MATCH($AK$4,退院予定有無×在院期間区分[#Headers],0)),0)+IFERROR(INDEX(退院予定有無×在院期間区分[#All],MATCH($AI5,退院予定有無×在院期間区分[[#All],[行ラベル]],0),MATCH($AL$4,退院予定有無×在院期間区分[#Headers],0)),0)+IFERROR(INDEX(退院予定有無×在院期間区分[#All],MATCH($AI5,退院予定有無×在院期間区分[[#All],[行ラベル]],0),MATCH($AM$4,退院予定有無×在院期間区分[#Headers],0)),0)</f>
        <v>776</v>
      </c>
      <c r="D4" s="110">
        <f>IFERROR(C4/C$7,"-")</f>
        <v>0.12534324018736875</v>
      </c>
      <c r="E4" s="89">
        <f>IFERROR(INDEX(退院予定有無×在院期間区分[#All],MATCH($AI5,退院予定有無×在院期間区分[[#All],[行ラベル]],0),MATCH($AN$4,退院予定有無×在院期間区分[#Headers],0)),0)+IFERROR(INDEX(退院予定有無×在院期間区分[#All],MATCH($AI5,退院予定有無×在院期間区分[[#All],[行ラベル]],0),MATCH($AO$4,退院予定有無×在院期間区分[#Headers],0)),0)+IFERROR(INDEX(退院予定有無×在院期間区分[#All],MATCH($AI5,退院予定有無×在院期間区分[[#All],[行ラベル]],0),MATCH($AP$4,退院予定有無×在院期間区分[#Headers],0)),0)+IFERROR(INDEX(退院予定有無×在院期間区分[#All],MATCH($AI5,退院予定有無×在院期間区分[[#All],[行ラベル]],0),MATCH($AQ$4,退院予定有無×在院期間区分[#Headers],0)),0)+IFERROR(INDEX(退院予定有無×在院期間区分[#All],MATCH($AI5,退院予定有無×在院期間区分[[#All],[行ラベル]],0),MATCH($AR$4,退院予定有無×在院期間区分[#Headers],0)),0)</f>
        <v>743</v>
      </c>
      <c r="F4" s="110">
        <f>IFERROR(E4/E$7,"-")</f>
        <v>0.15222290514238884</v>
      </c>
      <c r="G4" s="89">
        <f>IFERROR(INDEX(退院予定有無×在院期間区分[#All],MATCH($AI5,退院予定有無×在院期間区分[[#All],[行ラベル]],0),MATCH($AS$4,退院予定有無×在院期間区分[#Headers],0))+INDEX(退院予定有無×在院期間区分[#All],MATCH($AI5,退院予定有無×在院期間区分[[#All],[行ラベル]],0),MATCH($AT$4,退院予定有無×在院期間区分[#Headers],0)),0)+IFERROR(INDEX(退院予定有無×在院期間区分[#All],MATCH($AI5,退院予定有無×在院期間区分[[#All],[行ラベル]],0),MATCH($AU$4,退院予定有無×在院期間区分[#Headers],0)),0)+IFERROR(INDEX(退院予定有無×在院期間区分[#All],MATCH($AI5,退院予定有無×在院期間区分[[#All],[行ラベル]],0),MATCH($AV$4,退院予定有無×在院期間区分[#Headers],0)),0)+IFERROR(INDEX(退院予定有無×在院期間区分[#All],MATCH($AI5,退院予定有無×在院期間区分[[#All],[行ラベル]],0),MATCH($AW$4,退院予定有無×在院期間区分[#Headers],0)),0)</f>
        <v>303</v>
      </c>
      <c r="H4" s="110">
        <f>IFERROR(G4/G$7,"-")</f>
        <v>0.15847280334728034</v>
      </c>
      <c r="I4" s="89">
        <f>IFERROR(INDEX(退院予定有無×在院期間区分[#All],MATCH($AI5,退院予定有無×在院期間区分[[#All],[行ラベル]],0),MATCH($AX$4,退院予定有無×在院期間区分[#Headers],0)),0)+IFERROR(INDEX(退院予定有無×在院期間区分[#All],MATCH($AI5,退院予定有無×在院期間区分[[#All],[行ラベル]],0),MATCH($AY$4,退院予定有無×在院期間区分[#Headers],0)),0)</f>
        <v>365</v>
      </c>
      <c r="J4" s="90">
        <f>IFERROR(I4/I$7,"-")</f>
        <v>0.16086381665932128</v>
      </c>
      <c r="K4" s="39">
        <f>C4+E4+G4+I4</f>
        <v>2187</v>
      </c>
      <c r="L4" s="34">
        <v>98</v>
      </c>
      <c r="M4" s="60">
        <v>1039</v>
      </c>
      <c r="N4" s="60">
        <v>970</v>
      </c>
      <c r="O4" s="60">
        <v>811</v>
      </c>
      <c r="P4" s="60">
        <v>1074</v>
      </c>
      <c r="Q4" s="60">
        <v>805</v>
      </c>
      <c r="R4" s="60">
        <v>695</v>
      </c>
      <c r="S4" s="60">
        <v>1008</v>
      </c>
      <c r="T4" s="60">
        <v>832</v>
      </c>
      <c r="U4" s="60">
        <v>619</v>
      </c>
      <c r="V4" s="60">
        <v>410</v>
      </c>
      <c r="W4" s="60">
        <v>371</v>
      </c>
      <c r="X4" s="60">
        <v>316</v>
      </c>
      <c r="Y4" s="60">
        <v>252</v>
      </c>
      <c r="Z4" s="60">
        <v>232</v>
      </c>
      <c r="AA4" s="60">
        <v>1171</v>
      </c>
      <c r="AB4" s="60">
        <v>716</v>
      </c>
      <c r="AJ4" s="383" t="s">
        <v>182</v>
      </c>
      <c r="AK4" s="383" t="s">
        <v>183</v>
      </c>
      <c r="AL4" s="383" t="s">
        <v>184</v>
      </c>
      <c r="AM4" s="383" t="s">
        <v>185</v>
      </c>
      <c r="AN4" s="383" t="s">
        <v>186</v>
      </c>
      <c r="AO4" s="383" t="s">
        <v>187</v>
      </c>
      <c r="AP4" s="383" t="s">
        <v>188</v>
      </c>
      <c r="AQ4" s="383" t="s">
        <v>189</v>
      </c>
      <c r="AR4" s="383" t="s">
        <v>190</v>
      </c>
      <c r="AS4" s="383" t="s">
        <v>191</v>
      </c>
      <c r="AT4" s="383" t="s">
        <v>192</v>
      </c>
      <c r="AU4" s="383" t="s">
        <v>193</v>
      </c>
      <c r="AV4" s="383" t="s">
        <v>194</v>
      </c>
      <c r="AW4" s="383" t="s">
        <v>195</v>
      </c>
      <c r="AX4" s="383" t="s">
        <v>196</v>
      </c>
      <c r="AY4" s="383" t="s">
        <v>197</v>
      </c>
    </row>
    <row r="5" spans="2:51" ht="18.75" customHeight="1" x14ac:dyDescent="0.15">
      <c r="B5" s="111" t="s">
        <v>241</v>
      </c>
      <c r="C5" s="112">
        <f>IFERROR(INDEX(退院予定有無×在院期間区分[#All],MATCH($AI6,退院予定有無×在院期間区分[[#All],[行ラベル]],0),MATCH($AJ$4,退院予定有無×在院期間区分[#Headers],0)),)+IFERROR(INDEX(退院予定有無×在院期間区分[#All],MATCH($AI6,退院予定有無×在院期間区分[[#All],[行ラベル]],0),MATCH($AK$4,退院予定有無×在院期間区分[#Headers],0)),0)+IFERROR(INDEX(退院予定有無×在院期間区分[#All],MATCH($AI6,退院予定有無×在院期間区分[[#All],[行ラベル]],0),MATCH($AL$4,退院予定有無×在院期間区分[#Headers],0)),0)+IFERROR(INDEX(退院予定有無×在院期間区分[#All],MATCH($AI6,退院予定有無×在院期間区分[[#All],[行ラベル]],0),MATCH($AM$4,退院予定有無×在院期間区分[#Headers],0)),0)</f>
        <v>3894</v>
      </c>
      <c r="D5" s="69">
        <f>IFERROR(C5/C$7,"-")</f>
        <v>0.62897754805362627</v>
      </c>
      <c r="E5" s="70">
        <f>IFERROR(INDEX(退院予定有無×在院期間区分[#All],MATCH($AI6,退院予定有無×在院期間区分[[#All],[行ラベル]],0),MATCH($AN$4,退院予定有無×在院期間区分[#Headers],0)),0)+IFERROR(INDEX(退院予定有無×在院期間区分[#All],MATCH($AI6,退院予定有無×在院期間区分[[#All],[行ラベル]],0),MATCH($AO$4,退院予定有無×在院期間区分[#Headers],0)),0)+IFERROR(INDEX(退院予定有無×在院期間区分[#All],MATCH($AI6,退院予定有無×在院期間区分[[#All],[行ラベル]],0),MATCH($AP$4,退院予定有無×在院期間区分[#Headers],0)),0)+IFERROR(INDEX(退院予定有無×在院期間区分[#All],MATCH($AI6,退院予定有無×在院期間区分[[#All],[行ラベル]],0),MATCH($AQ$4,退院予定有無×在院期間区分[#Headers],0)),0)+IFERROR(INDEX(退院予定有無×在院期間区分[#All],MATCH($AI6,退院予定有無×在院期間区分[[#All],[行ラベル]],0),MATCH($AR$4,退院予定有無×在院期間区分[#Headers],0)),0)</f>
        <v>3959</v>
      </c>
      <c r="F5" s="69">
        <f>IFERROR(E5/E$7,"-")</f>
        <v>0.81110428190944484</v>
      </c>
      <c r="G5" s="70">
        <f>IFERROR(INDEX(退院予定有無×在院期間区分[#All],MATCH($AI6,退院予定有無×在院期間区分[[#All],[行ラベル]],0),MATCH($AS$4,退院予定有無×在院期間区分[#Headers],0))+INDEX(退院予定有無×在院期間区分[#All],MATCH($AI6,退院予定有無×在院期間区分[[#All],[行ラベル]],0),MATCH($AT$4,退院予定有無×在院期間区分[#Headers],0)),0)+IFERROR(INDEX(退院予定有無×在院期間区分[#All],MATCH($AI6,退院予定有無×在院期間区分[[#All],[行ラベル]],0),MATCH($AU$4,退院予定有無×在院期間区分[#Headers],0)),0)+IFERROR(INDEX(退院予定有無×在院期間区分[#All],MATCH($AI6,退院予定有無×在院期間区分[[#All],[行ラベル]],0),MATCH($AV$4,退院予定有無×在院期間区分[#Headers],0)),0)+IFERROR(INDEX(退院予定有無×在院期間区分[#All],MATCH($AI6,退院予定有無×在院期間区分[[#All],[行ラベル]],0),MATCH($AW$4,退院予定有無×在院期間区分[#Headers],0)),0)</f>
        <v>1581</v>
      </c>
      <c r="H5" s="73">
        <f>IFERROR(G5/G$7,"-")</f>
        <v>0.82688284518828448</v>
      </c>
      <c r="I5" s="70">
        <f>IFERROR(INDEX(退院予定有無×在院期間区分[#All],MATCH($AI6,退院予定有無×在院期間区分[[#All],[行ラベル]],0),MATCH($AX$4,退院予定有無×在院期間区分[#Headers],0)),0)+IFERROR(INDEX(退院予定有無×在院期間区分[#All],MATCH($AI6,退院予定有無×在院期間区分[[#All],[行ラベル]],0),MATCH($AY$4,退院予定有無×在院期間区分[#Headers],0)),0)</f>
        <v>1887</v>
      </c>
      <c r="J5" s="75">
        <f>IFERROR(I5/I$7,"-")</f>
        <v>0.83164389598942268</v>
      </c>
      <c r="K5" s="39">
        <f>C5+E5+G5+I5</f>
        <v>11321</v>
      </c>
      <c r="L5" s="34">
        <v>97</v>
      </c>
      <c r="M5" s="60">
        <v>175</v>
      </c>
      <c r="N5" s="60">
        <v>202</v>
      </c>
      <c r="O5" s="60">
        <v>182</v>
      </c>
      <c r="P5" s="60">
        <v>217</v>
      </c>
      <c r="Q5" s="60">
        <v>140</v>
      </c>
      <c r="R5" s="60">
        <v>135</v>
      </c>
      <c r="S5" s="60">
        <v>219</v>
      </c>
      <c r="T5" s="60">
        <v>150</v>
      </c>
      <c r="U5" s="60">
        <v>99</v>
      </c>
      <c r="V5" s="60">
        <v>82</v>
      </c>
      <c r="W5" s="60">
        <v>61</v>
      </c>
      <c r="X5" s="60">
        <v>62</v>
      </c>
      <c r="Y5" s="60">
        <v>48</v>
      </c>
      <c r="Z5" s="60">
        <v>50</v>
      </c>
      <c r="AA5" s="60">
        <v>228</v>
      </c>
      <c r="AB5" s="60">
        <v>137</v>
      </c>
      <c r="AI5" s="34">
        <v>97</v>
      </c>
      <c r="AJ5" s="56"/>
    </row>
    <row r="6" spans="2:51" ht="18.75" customHeight="1" x14ac:dyDescent="0.15">
      <c r="B6" s="113" t="s">
        <v>36</v>
      </c>
      <c r="C6" s="114">
        <f>IFERROR(INDEX(退院予定有無×在院期間区分[#All],MATCH($AI7,退院予定有無×在院期間区分[[#All],[行ラベル]],0),MATCH($AJ$4,退院予定有無×在院期間区分[#Headers],0)),)+IFERROR(INDEX(退院予定有無×在院期間区分[#All],MATCH($AI7,退院予定有無×在院期間区分[[#All],[行ラベル]],0),MATCH($AK$4,退院予定有無×在院期間区分[#Headers],0)),0)+IFERROR(INDEX(退院予定有無×在院期間区分[#All],MATCH($AI7,退院予定有無×在院期間区分[[#All],[行ラベル]],0),MATCH($AL$4,退院予定有無×在院期間区分[#Headers],0)),0)+IFERROR(INDEX(退院予定有無×在院期間区分[#All],MATCH($AI7,退院予定有無×在院期間区分[[#All],[行ラベル]],0),MATCH($AM$4,退院予定有無×在院期間区分[#Headers],0)),0)</f>
        <v>1521</v>
      </c>
      <c r="D6" s="82">
        <f>IFERROR(C6/C$7,"-")</f>
        <v>0.24567921175900501</v>
      </c>
      <c r="E6" s="68">
        <f>IFERROR(INDEX(退院予定有無×在院期間区分[#All],MATCH($AI7,退院予定有無×在院期間区分[[#All],[行ラベル]],0),MATCH($AN$4,退院予定有無×在院期間区分[#Headers],0)),0)+IFERROR(INDEX(退院予定有無×在院期間区分[#All],MATCH($AI7,退院予定有無×在院期間区分[[#All],[行ラベル]],0),MATCH($AO$4,退院予定有無×在院期間区分[#Headers],0)),0)+IFERROR(INDEX(退院予定有無×在院期間区分[#All],MATCH($AI7,退院予定有無×在院期間区分[[#All],[行ラベル]],0),MATCH($AP$4,退院予定有無×在院期間区分[#Headers],0)),0)+IFERROR(INDEX(退院予定有無×在院期間区分[#All],MATCH($AI7,退院予定有無×在院期間区分[[#All],[行ラベル]],0),MATCH($AQ$4,退院予定有無×在院期間区分[#Headers],0)),0)+IFERROR(INDEX(退院予定有無×在院期間区分[#All],MATCH($AI7,退院予定有無×在院期間区分[[#All],[行ラベル]],0),MATCH($AR$4,退院予定有無×在院期間区分[#Headers],0)),0)</f>
        <v>179</v>
      </c>
      <c r="F6" s="77">
        <f>IFERROR(E6/E$7,"-")</f>
        <v>3.6672812948166357E-2</v>
      </c>
      <c r="G6" s="68">
        <f>IFERROR(INDEX(退院予定有無×在院期間区分[#All],MATCH($AI7,退院予定有無×在院期間区分[[#All],[行ラベル]],0),MATCH($AS$4,退院予定有無×在院期間区分[#Headers],0))+INDEX(退院予定有無×在院期間区分[#All],MATCH($AI7,退院予定有無×在院期間区分[[#All],[行ラベル]],0),MATCH($AT$4,退院予定有無×在院期間区分[#Headers],0)),0)+IFERROR(INDEX(退院予定有無×在院期間区分[#All],MATCH($AI7,退院予定有無×在院期間区分[[#All],[行ラベル]],0),MATCH($AU$4,退院予定有無×在院期間区分[#Headers],0)),0)+IFERROR(INDEX(退院予定有無×在院期間区分[#All],MATCH($AI7,退院予定有無×在院期間区分[[#All],[行ラベル]],0),MATCH($AV$4,退院予定有無×在院期間区分[#Headers],0)),0)+IFERROR(INDEX(退院予定有無×在院期間区分[#All],MATCH($AI7,退院予定有無×在院期間区分[[#All],[行ラベル]],0),MATCH($AW$4,退院予定有無×在院期間区分[#Headers],0)),0)</f>
        <v>28</v>
      </c>
      <c r="H6" s="77">
        <f>IFERROR(G6/G$7,"-")</f>
        <v>1.4644351464435146E-2</v>
      </c>
      <c r="I6" s="68">
        <f>IFERROR(INDEX(退院予定有無×在院期間区分[#All],MATCH($AI7,退院予定有無×在院期間区分[[#All],[行ラベル]],0),MATCH($AX$4,退院予定有無×在院期間区分[#Headers],0)),0)+IFERROR(INDEX(退院予定有無×在院期間区分[#All],MATCH($AI7,退院予定有無×在院期間区分[[#All],[行ラベル]],0),MATCH($AY$4,退院予定有無×在院期間区分[#Headers],0)),0)</f>
        <v>17</v>
      </c>
      <c r="J6" s="77">
        <f>IFERROR(I6/I$7,"-")</f>
        <v>7.4922873512560601E-3</v>
      </c>
      <c r="K6" s="39">
        <f>C6+E6+G6+I6</f>
        <v>1745</v>
      </c>
      <c r="L6" s="34">
        <v>99</v>
      </c>
      <c r="M6" s="60">
        <v>490</v>
      </c>
      <c r="N6" s="60">
        <v>641</v>
      </c>
      <c r="O6" s="60">
        <v>247</v>
      </c>
      <c r="P6" s="60">
        <v>143</v>
      </c>
      <c r="Q6" s="60">
        <v>63</v>
      </c>
      <c r="R6" s="60">
        <v>33</v>
      </c>
      <c r="S6" s="60">
        <v>44</v>
      </c>
      <c r="T6" s="60">
        <v>26</v>
      </c>
      <c r="U6" s="60">
        <v>13</v>
      </c>
      <c r="V6" s="60">
        <v>6</v>
      </c>
      <c r="W6" s="60">
        <v>5</v>
      </c>
      <c r="X6" s="60">
        <v>7</v>
      </c>
      <c r="Y6" s="60">
        <v>6</v>
      </c>
      <c r="Z6" s="60">
        <v>4</v>
      </c>
      <c r="AA6" s="60">
        <v>14</v>
      </c>
      <c r="AB6" s="60">
        <v>3</v>
      </c>
      <c r="AI6" s="34">
        <v>98</v>
      </c>
      <c r="AJ6" s="56"/>
    </row>
    <row r="7" spans="2:51" ht="18.75" customHeight="1" x14ac:dyDescent="0.15">
      <c r="B7" s="115" t="s">
        <v>161</v>
      </c>
      <c r="C7" s="94">
        <f t="shared" ref="C7:J7" si="0">SUM(C4:C6)</f>
        <v>6191</v>
      </c>
      <c r="D7" s="95">
        <f t="shared" si="0"/>
        <v>1</v>
      </c>
      <c r="E7" s="96">
        <f t="shared" si="0"/>
        <v>4881</v>
      </c>
      <c r="F7" s="95">
        <f t="shared" si="0"/>
        <v>1</v>
      </c>
      <c r="G7" s="116">
        <f t="shared" si="0"/>
        <v>1912</v>
      </c>
      <c r="H7" s="117">
        <f t="shared" si="0"/>
        <v>0.99999999999999989</v>
      </c>
      <c r="I7" s="96">
        <f t="shared" si="0"/>
        <v>2269</v>
      </c>
      <c r="J7" s="95">
        <f t="shared" si="0"/>
        <v>1</v>
      </c>
      <c r="K7" s="39">
        <f>C7+E7+G7+I7</f>
        <v>15253</v>
      </c>
      <c r="L7" s="34"/>
      <c r="M7" s="43"/>
      <c r="N7" s="43"/>
      <c r="O7" s="43"/>
      <c r="P7" s="43"/>
      <c r="Q7" s="43"/>
      <c r="R7" s="43"/>
      <c r="S7" s="43"/>
      <c r="T7" s="43"/>
      <c r="U7" s="43"/>
      <c r="V7" s="43"/>
      <c r="W7" s="43"/>
      <c r="X7" s="43"/>
      <c r="Y7" s="43"/>
      <c r="Z7" s="43"/>
      <c r="AA7" s="43"/>
      <c r="AB7" s="43"/>
      <c r="AI7" s="34">
        <v>99</v>
      </c>
      <c r="AJ7" s="56"/>
    </row>
    <row r="8" spans="2:51" ht="18.75" customHeight="1" thickBot="1" x14ac:dyDescent="0.2">
      <c r="B8" s="97"/>
      <c r="C8" s="98"/>
      <c r="D8" s="99"/>
      <c r="E8" s="100"/>
      <c r="F8" s="99"/>
      <c r="G8" s="100"/>
      <c r="H8" s="99"/>
      <c r="I8" s="100"/>
      <c r="J8" s="99"/>
      <c r="K8" s="39"/>
      <c r="L8" s="34"/>
      <c r="M8" s="43"/>
      <c r="N8" s="43"/>
      <c r="O8" s="43"/>
      <c r="P8" s="43"/>
      <c r="Q8" s="43"/>
      <c r="R8" s="43"/>
      <c r="S8" s="43"/>
      <c r="T8" s="43"/>
      <c r="U8" s="43"/>
      <c r="V8" s="43"/>
      <c r="W8" s="43"/>
      <c r="X8" s="43"/>
      <c r="Y8" s="43"/>
      <c r="Z8" s="43"/>
      <c r="AA8" s="43"/>
      <c r="AB8" s="43"/>
      <c r="AI8" s="34"/>
      <c r="AJ8" s="56"/>
    </row>
    <row r="9" spans="2:51" ht="18.75" customHeight="1" thickTop="1" thickBot="1" x14ac:dyDescent="0.2">
      <c r="B9" s="101" t="s">
        <v>242</v>
      </c>
      <c r="C9" s="688"/>
      <c r="D9" s="689"/>
      <c r="E9" s="689"/>
      <c r="F9" s="689"/>
      <c r="G9" s="689"/>
      <c r="H9" s="689"/>
      <c r="I9" s="689"/>
      <c r="J9" s="690"/>
      <c r="K9" s="39"/>
      <c r="L9" s="502" t="s">
        <v>370</v>
      </c>
      <c r="M9" s="56" t="s">
        <v>182</v>
      </c>
      <c r="N9" s="56" t="s">
        <v>183</v>
      </c>
      <c r="O9" s="56" t="s">
        <v>184</v>
      </c>
      <c r="P9" s="56" t="s">
        <v>185</v>
      </c>
      <c r="Q9" s="56" t="s">
        <v>186</v>
      </c>
      <c r="R9" s="56" t="s">
        <v>187</v>
      </c>
      <c r="S9" s="56" t="s">
        <v>188</v>
      </c>
      <c r="T9" s="56" t="s">
        <v>189</v>
      </c>
      <c r="U9" s="56" t="s">
        <v>190</v>
      </c>
      <c r="V9" s="56" t="s">
        <v>191</v>
      </c>
      <c r="W9" s="56" t="s">
        <v>192</v>
      </c>
      <c r="X9" s="56" t="s">
        <v>193</v>
      </c>
      <c r="Y9" s="56" t="s">
        <v>194</v>
      </c>
      <c r="Z9" s="56" t="s">
        <v>195</v>
      </c>
      <c r="AA9" s="56" t="s">
        <v>196</v>
      </c>
      <c r="AB9" s="56" t="s">
        <v>197</v>
      </c>
      <c r="AI9" s="34"/>
      <c r="AJ9" s="56"/>
    </row>
    <row r="10" spans="2:51" ht="18.75" customHeight="1" thickTop="1" x14ac:dyDescent="0.15">
      <c r="B10" s="118" t="s">
        <v>34</v>
      </c>
      <c r="C10" s="109">
        <f>IFERROR(INDEX(阻害要因有無×在院期間区分[#All],MATCH($AI11,阻害要因有無×在院期間区分[[#All],[行ラベル]],0),MATCH($AJ$4,阻害要因有無×在院期間区分[#Headers],0)),0)+IFERROR(INDEX(阻害要因有無×在院期間区分[#All],MATCH($AI11,阻害要因有無×在院期間区分[[#All],[行ラベル]],0),MATCH($AK$4,阻害要因有無×在院期間区分[#Headers],0)),0)+IFERROR(INDEX(阻害要因有無×在院期間区分[#All],MATCH($AI11,阻害要因有無×在院期間区分[[#All],[行ラベル]],0),MATCH($AL$4,阻害要因有無×在院期間区分[#Headers],0)),0)+IFERROR(INDEX(阻害要因有無×在院期間区分[#All],MATCH($AI11,阻害要因有無×在院期間区分[[#All],[行ラベル]],0),MATCH($AM$4,阻害要因有無×在院期間区分[#Headers],0)),0)</f>
        <v>605</v>
      </c>
      <c r="D10" s="90">
        <f>IFERROR(C10/C$4,"-")</f>
        <v>0.77963917525773196</v>
      </c>
      <c r="E10" s="89">
        <f>IFERROR(INDEX(阻害要因有無×在院期間区分[#All],MATCH($AI11,阻害要因有無×在院期間区分[[#All],[行ラベル]],0),MATCH($AN$4,阻害要因有無×在院期間区分[#Headers],0)),0)+IFERROR(INDEX(阻害要因有無×在院期間区分[#All],MATCH($AI11,阻害要因有無×在院期間区分[[#All],[行ラベル]],0),MATCH($AO$4,阻害要因有無×在院期間区分[#Headers],0)),0)+IFERROR(INDEX(阻害要因有無×在院期間区分[#All],MATCH($AI11,阻害要因有無×在院期間区分[[#All],[行ラベル]],0),MATCH($AP$4,阻害要因有無×在院期間区分[#Headers],0)),0)+IFERROR(INDEX(阻害要因有無×在院期間区分[#All],MATCH($AI11,阻害要因有無×在院期間区分[[#All],[行ラベル]],0),MATCH($AQ$4,阻害要因有無×在院期間区分[#Headers],0)),0)+IFERROR(INDEX(阻害要因有無×在院期間区分[#All],MATCH($AI11,阻害要因有無×在院期間区分[[#All],[行ラベル]],0),MATCH($AR$4,阻害要因有無×在院期間区分[#Headers],0)),0)</f>
        <v>718</v>
      </c>
      <c r="F10" s="90">
        <f>IFERROR(E10/E$4,"-")</f>
        <v>0.96635262449528936</v>
      </c>
      <c r="G10" s="89">
        <f>IFERROR(INDEX(阻害要因有無×在院期間区分[#All],MATCH($AI11,阻害要因有無×在院期間区分[[#All],[行ラベル]],0),MATCH($AS$4,阻害要因有無×在院期間区分[#Headers],0)),0)+IFERROR(INDEX(阻害要因有無×在院期間区分[#All],MATCH($AI11,阻害要因有無×在院期間区分[[#All],[行ラベル]],0),MATCH($AT$4,阻害要因有無×在院期間区分[#Headers],0)),0)+IFERROR(INDEX(阻害要因有無×在院期間区分[#All],MATCH($AI11,阻害要因有無×在院期間区分[[#All],[行ラベル]],0),MATCH($AU$4,阻害要因有無×在院期間区分[#Headers],0)),0)+IFERROR(INDEX(阻害要因有無×在院期間区分[#All],MATCH($AI11,阻害要因有無×在院期間区分[[#All],[行ラベル]],0),MATCH($AV$4,阻害要因有無×在院期間区分[#Headers],0)),0)+IFERROR(INDEX(阻害要因有無×在院期間区分[#All],MATCH($AI11,阻害要因有無×在院期間区分[[#All],[行ラベル]],0),MATCH($AW$4,阻害要因有無×在院期間区分[#Headers],0)),0)</f>
        <v>290</v>
      </c>
      <c r="H10" s="90">
        <f>IFERROR(G10/G$4,"-")</f>
        <v>0.95709570957095713</v>
      </c>
      <c r="I10" s="89">
        <f>IFERROR(INDEX(阻害要因有無×在院期間区分[#All],MATCH($AI11,阻害要因有無×在院期間区分[[#All],[行ラベル]],0),MATCH($AX$4,阻害要因有無×在院期間区分[#Headers],0)),0)+IFERROR(INDEX(阻害要因有無×在院期間区分[#All],MATCH($AI11,阻害要因有無×在院期間区分[[#All],[行ラベル]],0),MATCH($AY$4,阻害要因有無×在院期間区分[#Headers],0)),0)</f>
        <v>356</v>
      </c>
      <c r="J10" s="90">
        <f>IFERROR(I10/I$4,"-")</f>
        <v>0.97534246575342465</v>
      </c>
      <c r="K10" s="39">
        <f>C10+E10+G10+I10</f>
        <v>1969</v>
      </c>
      <c r="L10" s="34">
        <v>91</v>
      </c>
      <c r="M10" s="60">
        <v>104</v>
      </c>
      <c r="N10" s="60">
        <v>146</v>
      </c>
      <c r="O10" s="60">
        <v>157</v>
      </c>
      <c r="P10" s="60">
        <v>198</v>
      </c>
      <c r="Q10" s="60">
        <v>136</v>
      </c>
      <c r="R10" s="60">
        <v>128</v>
      </c>
      <c r="S10" s="60">
        <v>214</v>
      </c>
      <c r="T10" s="60">
        <v>143</v>
      </c>
      <c r="U10" s="60">
        <v>97</v>
      </c>
      <c r="V10" s="60">
        <v>76</v>
      </c>
      <c r="W10" s="60">
        <v>58</v>
      </c>
      <c r="X10" s="60">
        <v>59</v>
      </c>
      <c r="Y10" s="60">
        <v>47</v>
      </c>
      <c r="Z10" s="60">
        <v>50</v>
      </c>
      <c r="AA10" s="60">
        <v>225</v>
      </c>
      <c r="AB10" s="60">
        <v>131</v>
      </c>
      <c r="AI10" s="34"/>
      <c r="AJ10" s="56"/>
    </row>
    <row r="11" spans="2:51" ht="18.75" customHeight="1" x14ac:dyDescent="0.15">
      <c r="B11" s="119" t="s">
        <v>35</v>
      </c>
      <c r="C11" s="112">
        <f>IFERROR(INDEX(阻害要因有無×在院期間区分[#All],MATCH($AI12,阻害要因有無×在院期間区分[[#All],[行ラベル]],0),MATCH($AJ$4,阻害要因有無×在院期間区分[#Headers],0)),0)+IFERROR(INDEX(阻害要因有無×在院期間区分[#All],MATCH($AI12,阻害要因有無×在院期間区分[[#All],[行ラベル]],0),MATCH($AK$4,阻害要因有無×在院期間区分[#Headers],0)),0)+IFERROR(INDEX(阻害要因有無×在院期間区分[#All],MATCH($AI12,阻害要因有無×在院期間区分[[#All],[行ラベル]],0),MATCH($AL$4,阻害要因有無×在院期間区分[#Headers],0)),0)+IFERROR(INDEX(阻害要因有無×在院期間区分[#All],MATCH($AI12,阻害要因有無×在院期間区分[[#All],[行ラベル]],0),MATCH($AM$4,阻害要因有無×在院期間区分[#Headers],0)),0)</f>
        <v>171</v>
      </c>
      <c r="D11" s="69">
        <f>IFERROR(C11/C$4,"-")</f>
        <v>0.22036082474226804</v>
      </c>
      <c r="E11" s="72">
        <f>IFERROR(INDEX(阻害要因有無×在院期間区分[#All],MATCH($AI12,阻害要因有無×在院期間区分[[#All],[行ラベル]],0),MATCH($AN$4,阻害要因有無×在院期間区分[#Headers],0)),0)+IFERROR(INDEX(阻害要因有無×在院期間区分[#All],MATCH($AI12,阻害要因有無×在院期間区分[[#All],[行ラベル]],0),MATCH($AO$4,阻害要因有無×在院期間区分[#Headers],0)),0)+IFERROR(INDEX(阻害要因有無×在院期間区分[#All],MATCH($AI12,阻害要因有無×在院期間区分[[#All],[行ラベル]],0),MATCH($AP$4,阻害要因有無×在院期間区分[#Headers],0)),0)+IFERROR(INDEX(阻害要因有無×在院期間区分[#All],MATCH($AI12,阻害要因有無×在院期間区分[[#All],[行ラベル]],0),MATCH($AQ$4,阻害要因有無×在院期間区分[#Headers],0)),0)+IFERROR(INDEX(阻害要因有無×在院期間区分[#All],MATCH($AI12,阻害要因有無×在院期間区分[[#All],[行ラベル]],0),MATCH($AR$4,阻害要因有無×在院期間区分[#Headers],0)),0)</f>
        <v>25</v>
      </c>
      <c r="F11" s="82">
        <f>IFERROR(E11/E$4,"-")</f>
        <v>3.3647375504710635E-2</v>
      </c>
      <c r="G11" s="72">
        <f>IFERROR(INDEX(阻害要因有無×在院期間区分[#All],MATCH($AI12,阻害要因有無×在院期間区分[[#All],[行ラベル]],0),MATCH($AS$4,阻害要因有無×在院期間区分[#Headers],0)),0)+IFERROR(INDEX(阻害要因有無×在院期間区分[#All],MATCH($AI12,阻害要因有無×在院期間区分[[#All],[行ラベル]],0),MATCH($AT$4,阻害要因有無×在院期間区分[#Headers],0)),0)+IFERROR(INDEX(阻害要因有無×在院期間区分[#All],MATCH($AI12,阻害要因有無×在院期間区分[[#All],[行ラベル]],0),MATCH($AU$4,阻害要因有無×在院期間区分[#Headers],0)),0)+IFERROR(INDEX(阻害要因有無×在院期間区分[#All],MATCH($AI12,阻害要因有無×在院期間区分[[#All],[行ラベル]],0),MATCH($AV$4,阻害要因有無×在院期間区分[#Headers],0)),0)+IFERROR(INDEX(阻害要因有無×在院期間区分[#All],MATCH($AI12,阻害要因有無×在院期間区分[[#All],[行ラベル]],0),MATCH($AW$4,阻害要因有無×在院期間区分[#Headers],0)),0)</f>
        <v>13</v>
      </c>
      <c r="H11" s="82">
        <f>IFERROR(G11/G$4,"-")</f>
        <v>4.2904290429042903E-2</v>
      </c>
      <c r="I11" s="72">
        <f>IFERROR(INDEX(阻害要因有無×在院期間区分[#All],MATCH($AI12,阻害要因有無×在院期間区分[[#All],[行ラベル]],0),MATCH($AX$4,阻害要因有無×在院期間区分[#Headers],0)),0)+IFERROR(INDEX(阻害要因有無×在院期間区分[#All],MATCH($AI12,阻害要因有無×在院期間区分[[#All],[行ラベル]],0),MATCH($AY$4,阻害要因有無×在院期間区分[#Headers],0)),0)</f>
        <v>9</v>
      </c>
      <c r="J11" s="82">
        <f>IFERROR(I11/I$4,"-")</f>
        <v>2.4657534246575342E-2</v>
      </c>
      <c r="K11" s="39">
        <f>C11+E11+G11+I11</f>
        <v>218</v>
      </c>
      <c r="L11" s="34">
        <v>90</v>
      </c>
      <c r="M11" s="60">
        <v>71</v>
      </c>
      <c r="N11" s="60">
        <v>56</v>
      </c>
      <c r="O11" s="60">
        <v>25</v>
      </c>
      <c r="P11" s="60">
        <v>19</v>
      </c>
      <c r="Q11" s="60">
        <v>4</v>
      </c>
      <c r="R11" s="60">
        <v>7</v>
      </c>
      <c r="S11" s="60">
        <v>5</v>
      </c>
      <c r="T11" s="60">
        <v>7</v>
      </c>
      <c r="U11" s="60">
        <v>2</v>
      </c>
      <c r="V11" s="60">
        <v>6</v>
      </c>
      <c r="W11" s="60">
        <v>3</v>
      </c>
      <c r="X11" s="60">
        <v>3</v>
      </c>
      <c r="Y11" s="60">
        <v>1</v>
      </c>
      <c r="Z11" s="60"/>
      <c r="AA11" s="60">
        <v>3</v>
      </c>
      <c r="AB11" s="60">
        <v>6</v>
      </c>
      <c r="AI11" s="34">
        <v>91</v>
      </c>
      <c r="AJ11" s="56"/>
    </row>
    <row r="12" spans="2:51" ht="18.75" customHeight="1" thickBot="1" x14ac:dyDescent="0.2">
      <c r="B12" s="103" t="s">
        <v>264</v>
      </c>
      <c r="C12" s="688"/>
      <c r="D12" s="689"/>
      <c r="E12" s="689"/>
      <c r="F12" s="689"/>
      <c r="G12" s="689"/>
      <c r="H12" s="689"/>
      <c r="I12" s="689"/>
      <c r="J12" s="690"/>
      <c r="K12" s="39"/>
      <c r="AI12" s="34">
        <v>90</v>
      </c>
      <c r="AJ12" s="56"/>
    </row>
    <row r="13" spans="2:51" ht="18.75" customHeight="1" thickTop="1" thickBot="1" x14ac:dyDescent="0.2">
      <c r="B13" s="691" t="s">
        <v>274</v>
      </c>
      <c r="C13" s="692"/>
      <c r="D13" s="692"/>
      <c r="E13" s="692"/>
      <c r="F13" s="692"/>
      <c r="G13" s="692"/>
      <c r="H13" s="692"/>
      <c r="I13" s="692"/>
      <c r="J13" s="693"/>
      <c r="K13" s="39"/>
      <c r="L13" s="502" t="s">
        <v>585</v>
      </c>
      <c r="M13" s="56" t="s">
        <v>182</v>
      </c>
      <c r="N13" s="56" t="s">
        <v>183</v>
      </c>
      <c r="O13" s="56" t="s">
        <v>184</v>
      </c>
      <c r="P13" s="56" t="s">
        <v>185</v>
      </c>
      <c r="Q13" s="56" t="s">
        <v>186</v>
      </c>
      <c r="R13" s="56" t="s">
        <v>187</v>
      </c>
      <c r="S13" s="56" t="s">
        <v>188</v>
      </c>
      <c r="T13" s="56" t="s">
        <v>189</v>
      </c>
      <c r="U13" s="56" t="s">
        <v>190</v>
      </c>
      <c r="V13" s="56" t="s">
        <v>191</v>
      </c>
      <c r="W13" s="56" t="s">
        <v>192</v>
      </c>
      <c r="X13" s="56" t="s">
        <v>193</v>
      </c>
      <c r="Y13" s="56" t="s">
        <v>194</v>
      </c>
      <c r="Z13" s="56" t="s">
        <v>195</v>
      </c>
      <c r="AA13" s="56" t="s">
        <v>196</v>
      </c>
      <c r="AB13" s="56" t="s">
        <v>197</v>
      </c>
      <c r="AJ13" s="56"/>
    </row>
    <row r="14" spans="2:51" ht="37.5" customHeight="1" thickTop="1" x14ac:dyDescent="0.15">
      <c r="B14" s="104" t="s">
        <v>235</v>
      </c>
      <c r="C14" s="409">
        <f>IFERROR(INDEX(阻害要因×在院期間区分[#All],MATCH($AI15,阻害要因×在院期間区分[[#All],[値]],0),MATCH($AJ$4,阻害要因×在院期間区分[#Headers],0)),0)+IFERROR(INDEX(阻害要因×在院期間区分[#All],MATCH($AI15,阻害要因×在院期間区分[[#All],[値]],0),MATCH($AK$4,阻害要因×在院期間区分[#Headers],0)),0)+IFERROR(INDEX(阻害要因×在院期間区分[#All],MATCH($AI15,阻害要因×在院期間区分[[#All],[値]],0),MATCH($AL$4,阻害要因×在院期間区分[#Headers],0)),0)+IFERROR(INDEX(阻害要因×在院期間区分[#All],MATCH($AI15,阻害要因×在院期間区分[[#All],[値]],0),MATCH($AM$4,阻害要因×在院期間区分[#Headers],0)),0)</f>
        <v>232</v>
      </c>
      <c r="D14" s="76">
        <f t="shared" ref="D14:D31" si="1">IFERROR(C14/C$10,"-")</f>
        <v>0.38347107438016531</v>
      </c>
      <c r="E14" s="65">
        <f>IFERROR(INDEX(阻害要因×在院期間区分[#All],MATCH($AI15,阻害要因×在院期間区分[[#All],[値]],0),MATCH($AN$4,阻害要因×在院期間区分[#Headers],0)),0)+IFERROR(INDEX(阻害要因×在院期間区分[#All],MATCH($AI15,阻害要因×在院期間区分[[#All],[値]],0),MATCH($AO$4,阻害要因×在院期間区分[#Headers],0)),0)+IFERROR(INDEX(阻害要因×在院期間区分[#All],MATCH($AI15,阻害要因×在院期間区分[[#All],[値]],0),MATCH($AP$4,阻害要因×在院期間区分[#Headers],0)),0)+IFERROR(INDEX(阻害要因×在院期間区分[#All],MATCH($AI15,阻害要因×在院期間区分[[#All],[値]],0),MATCH($AQ$4,阻害要因×在院期間区分[#Headers],0)),0)+IFERROR(INDEX(阻害要因×在院期間区分[#All],MATCH($AI15,阻害要因×在院期間区分[[#All],[値]],0),MATCH($AR$4,阻害要因×在院期間区分[#Headers],0)),0)</f>
        <v>256</v>
      </c>
      <c r="F14" s="76">
        <f t="shared" ref="F14:F31" si="2">IFERROR(E14/E$10,"-")</f>
        <v>0.35654596100278552</v>
      </c>
      <c r="G14" s="65">
        <f>IFERROR(INDEX(阻害要因×在院期間区分[#All],MATCH($AI15,阻害要因×在院期間区分[[#All],[値]],0),MATCH($AS$4,阻害要因×在院期間区分[#Headers],0)),0)+IFERROR(INDEX(阻害要因×在院期間区分[#All],MATCH($AI15,阻害要因×在院期間区分[[#All],[値]],0),MATCH($AT$4,阻害要因×在院期間区分[#Headers],0)),0)+IFERROR(INDEX(阻害要因×在院期間区分[#All],MATCH($AI15,阻害要因×在院期間区分[[#All],[値]],0),MATCH($AU$4,阻害要因×在院期間区分[#Headers],0)),0)+IFERROR(INDEX(阻害要因×在院期間区分[#All],MATCH($AI15,阻害要因×在院期間区分[[#All],[値]],0),MATCH($AV$4,阻害要因×在院期間区分[#Headers],0)),0)+IFERROR(INDEX(阻害要因×在院期間区分[#All],MATCH($AI15,阻害要因×在院期間区分[[#All],[値]],0),MATCH($AW$4,阻害要因×在院期間区分[#Headers],0)),0)</f>
        <v>107</v>
      </c>
      <c r="H14" s="76">
        <f t="shared" ref="H14:H31" si="3">IFERROR(G14/G$10,"-")</f>
        <v>0.36896551724137933</v>
      </c>
      <c r="I14" s="65">
        <f>IFERROR(INDEX(阻害要因×在院期間区分[#All],MATCH($AI15,阻害要因×在院期間区分[[#All],[値]],0),MATCH($AX$4,阻害要因×在院期間区分[#Headers],0)),0)+IFERROR(INDEX(阻害要因×在院期間区分[#All],MATCH($AI15,阻害要因×在院期間区分[[#All],[値]],0),MATCH($AY$4,阻害要因×在院期間区分[#Headers],0)),0)</f>
        <v>137</v>
      </c>
      <c r="J14" s="76">
        <f t="shared" ref="J14:J31" si="4">IFERROR(I14/I$10,"-")</f>
        <v>0.3848314606741573</v>
      </c>
      <c r="K14" s="39">
        <f>C14+E14+G14+I14</f>
        <v>732</v>
      </c>
      <c r="L14" s="34" t="s">
        <v>309</v>
      </c>
      <c r="M14" s="66">
        <v>47</v>
      </c>
      <c r="N14" s="66">
        <v>65</v>
      </c>
      <c r="O14" s="66">
        <v>47</v>
      </c>
      <c r="P14" s="66">
        <v>73</v>
      </c>
      <c r="Q14" s="66">
        <v>46</v>
      </c>
      <c r="R14" s="66">
        <v>40</v>
      </c>
      <c r="S14" s="66">
        <v>79</v>
      </c>
      <c r="T14" s="66">
        <v>59</v>
      </c>
      <c r="U14" s="66">
        <v>32</v>
      </c>
      <c r="V14" s="66">
        <v>25</v>
      </c>
      <c r="W14" s="66">
        <v>24</v>
      </c>
      <c r="X14" s="66">
        <v>28</v>
      </c>
      <c r="Y14" s="66">
        <v>16</v>
      </c>
      <c r="Z14" s="66">
        <v>14</v>
      </c>
      <c r="AA14" s="66">
        <v>94</v>
      </c>
      <c r="AB14" s="66">
        <v>43</v>
      </c>
      <c r="AJ14" s="56"/>
    </row>
    <row r="15" spans="2:51" ht="20.25" customHeight="1" x14ac:dyDescent="0.15">
      <c r="B15" s="105" t="s">
        <v>66</v>
      </c>
      <c r="C15" s="120">
        <f>IFERROR(INDEX(阻害要因×在院期間区分[#All],MATCH($AI16,阻害要因×在院期間区分[[#All],[値]],0),MATCH($AJ$4,阻害要因×在院期間区分[#Headers],0)),0)+IFERROR(INDEX(阻害要因×在院期間区分[#All],MATCH($AI16,阻害要因×在院期間区分[[#All],[値]],0),MATCH($AK$4,阻害要因×在院期間区分[#Headers],0)),0)+IFERROR(INDEX(阻害要因×在院期間区分[#All],MATCH($AI16,阻害要因×在院期間区分[[#All],[値]],0),MATCH($AL$4,阻害要因×在院期間区分[#Headers],0)),0)+IFERROR(INDEX(阻害要因×在院期間区分[#All],MATCH($AI16,阻害要因×在院期間区分[[#All],[値]],0),MATCH($AM$4,阻害要因×在院期間区分[#Headers],0)),0)</f>
        <v>161</v>
      </c>
      <c r="D15" s="69">
        <f t="shared" si="1"/>
        <v>0.26611570247933886</v>
      </c>
      <c r="E15" s="71">
        <f>IFERROR(INDEX(阻害要因×在院期間区分[#All],MATCH($AI16,阻害要因×在院期間区分[[#All],[値]],0),MATCH($AN$4,阻害要因×在院期間区分[#Headers],0)),0)+IFERROR(INDEX(阻害要因×在院期間区分[#All],MATCH($AI16,阻害要因×在院期間区分[[#All],[値]],0),MATCH($AO$4,阻害要因×在院期間区分[#Headers],0)),0)+IFERROR(INDEX(阻害要因×在院期間区分[#All],MATCH($AI16,阻害要因×在院期間区分[[#All],[値]],0),MATCH($AP$4,阻害要因×在院期間区分[#Headers],0)),0)+IFERROR(INDEX(阻害要因×在院期間区分[#All],MATCH($AI16,阻害要因×在院期間区分[[#All],[値]],0),MATCH($AQ$4,阻害要因×在院期間区分[#Headers],0)),0)+IFERROR(INDEX(阻害要因×在院期間区分[#All],MATCH($AI16,阻害要因×在院期間区分[[#All],[値]],0),MATCH($AR$4,阻害要因×在院期間区分[#Headers],0)),0)</f>
        <v>194</v>
      </c>
      <c r="F15" s="69">
        <f t="shared" si="2"/>
        <v>0.27019498607242337</v>
      </c>
      <c r="G15" s="72">
        <f>IFERROR(INDEX(阻害要因×在院期間区分[#All],MATCH($AI16,阻害要因×在院期間区分[[#All],[値]],0),MATCH($AS$4,阻害要因×在院期間区分[#Headers],0)),0)+IFERROR(INDEX(阻害要因×在院期間区分[#All],MATCH($AI16,阻害要因×在院期間区分[[#All],[値]],0),MATCH($AT$4,阻害要因×在院期間区分[#Headers],0)),0)+IFERROR(INDEX(阻害要因×在院期間区分[#All],MATCH($AI16,阻害要因×在院期間区分[[#All],[値]],0),MATCH($AU$4,阻害要因×在院期間区分[#Headers],0)),0)+IFERROR(INDEX(阻害要因×在院期間区分[#All],MATCH($AI16,阻害要因×在院期間区分[[#All],[値]],0),MATCH($AV$4,阻害要因×在院期間区分[#Headers],0)),0)+IFERROR(INDEX(阻害要因×在院期間区分[#All],MATCH($AI16,阻害要因×在院期間区分[[#All],[値]],0),MATCH($AW$4,阻害要因×在院期間区分[#Headers],0)),0)</f>
        <v>95</v>
      </c>
      <c r="H15" s="69">
        <f t="shared" si="3"/>
        <v>0.32758620689655171</v>
      </c>
      <c r="I15" s="72">
        <f>IFERROR(INDEX(阻害要因×在院期間区分[#All],MATCH($AI16,阻害要因×在院期間区分[[#All],[値]],0),MATCH($AX$4,阻害要因×在院期間区分[#Headers],0)),0)+IFERROR(INDEX(阻害要因×在院期間区分[#All],MATCH($AI16,阻害要因×在院期間区分[[#All],[値]],0),MATCH($AY$4,阻害要因×在院期間区分[#Headers],0)),0)</f>
        <v>122</v>
      </c>
      <c r="J15" s="69">
        <f t="shared" si="4"/>
        <v>0.34269662921348315</v>
      </c>
      <c r="K15" s="39">
        <f t="shared" ref="K15:K31" si="5">SUM(C15,E15,G15,I15)</f>
        <v>572</v>
      </c>
      <c r="L15" s="56" t="s">
        <v>310</v>
      </c>
      <c r="M15" s="66">
        <v>28</v>
      </c>
      <c r="N15" s="66">
        <v>37</v>
      </c>
      <c r="O15" s="66">
        <v>47</v>
      </c>
      <c r="P15" s="66">
        <v>49</v>
      </c>
      <c r="Q15" s="66">
        <v>25</v>
      </c>
      <c r="R15" s="66">
        <v>26</v>
      </c>
      <c r="S15" s="66">
        <v>75</v>
      </c>
      <c r="T15" s="66">
        <v>44</v>
      </c>
      <c r="U15" s="66">
        <v>24</v>
      </c>
      <c r="V15" s="66">
        <v>21</v>
      </c>
      <c r="W15" s="66">
        <v>16</v>
      </c>
      <c r="X15" s="66">
        <v>24</v>
      </c>
      <c r="Y15" s="66">
        <v>15</v>
      </c>
      <c r="Z15" s="66">
        <v>19</v>
      </c>
      <c r="AA15" s="66">
        <v>76</v>
      </c>
      <c r="AB15" s="66">
        <v>46</v>
      </c>
      <c r="AI15" s="383" t="s">
        <v>309</v>
      </c>
      <c r="AJ15" s="56"/>
    </row>
    <row r="16" spans="2:51" ht="20.25" customHeight="1" x14ac:dyDescent="0.15">
      <c r="B16" s="105" t="s">
        <v>38</v>
      </c>
      <c r="C16" s="114">
        <f>IFERROR(INDEX(阻害要因×在院期間区分[#All],MATCH($AI17,阻害要因×在院期間区分[[#All],[値]],0),MATCH($AJ$4,阻害要因×在院期間区分[#Headers],0)),0)+IFERROR(INDEX(阻害要因×在院期間区分[#All],MATCH($AI17,阻害要因×在院期間区分[[#All],[値]],0),MATCH($AK$4,阻害要因×在院期間区分[#Headers],0)),0)+IFERROR(INDEX(阻害要因×在院期間区分[#All],MATCH($AI17,阻害要因×在院期間区分[[#All],[値]],0),MATCH($AL$4,阻害要因×在院期間区分[#Headers],0)),0)+IFERROR(INDEX(阻害要因×在院期間区分[#All],MATCH($AI17,阻害要因×在院期間区分[[#All],[値]],0),MATCH($AM$4,阻害要因×在院期間区分[#Headers],0)),0)</f>
        <v>38</v>
      </c>
      <c r="D16" s="69">
        <f t="shared" si="1"/>
        <v>6.2809917355371905E-2</v>
      </c>
      <c r="E16" s="70">
        <f>IFERROR(INDEX(阻害要因×在院期間区分[#All],MATCH($AI17,阻害要因×在院期間区分[[#All],[値]],0),MATCH($AN$4,阻害要因×在院期間区分[#Headers],0)),0)+IFERROR(INDEX(阻害要因×在院期間区分[#All],MATCH($AI17,阻害要因×在院期間区分[[#All],[値]],0),MATCH($AO$4,阻害要因×在院期間区分[#Headers],0)),0)+IFERROR(INDEX(阻害要因×在院期間区分[#All],MATCH($AI17,阻害要因×在院期間区分[[#All],[値]],0),MATCH($AP$4,阻害要因×在院期間区分[#Headers],0)),0)+IFERROR(INDEX(阻害要因×在院期間区分[#All],MATCH($AI17,阻害要因×在院期間区分[[#All],[値]],0),MATCH($AQ$4,阻害要因×在院期間区分[#Headers],0)),0)+IFERROR(INDEX(阻害要因×在院期間区分[#All],MATCH($AI17,阻害要因×在院期間区分[[#All],[値]],0),MATCH($AR$4,阻害要因×在院期間区分[#Headers],0)),0)</f>
        <v>38</v>
      </c>
      <c r="F16" s="69">
        <f t="shared" si="2"/>
        <v>5.2924791086350974E-2</v>
      </c>
      <c r="G16" s="70">
        <f>IFERROR(INDEX(阻害要因×在院期間区分[#All],MATCH($AI17,阻害要因×在院期間区分[[#All],[値]],0),MATCH($AS$4,阻害要因×在院期間区分[#Headers],0)),0)+IFERROR(INDEX(阻害要因×在院期間区分[#All],MATCH($AI17,阻害要因×在院期間区分[[#All],[値]],0),MATCH($AT$4,阻害要因×在院期間区分[#Headers],0)),0)+IFERROR(INDEX(阻害要因×在院期間区分[#All],MATCH($AI17,阻害要因×在院期間区分[[#All],[値]],0),MATCH($AU$4,阻害要因×在院期間区分[#Headers],0)),0)+IFERROR(INDEX(阻害要因×在院期間区分[#All],MATCH($AI17,阻害要因×在院期間区分[[#All],[値]],0),MATCH($AV$4,阻害要因×在院期間区分[#Headers],0)),0)+IFERROR(INDEX(阻害要因×在院期間区分[#All],MATCH($AI17,阻害要因×在院期間区分[[#All],[値]],0),MATCH($AW$4,阻害要因×在院期間区分[#Headers],0)),0)</f>
        <v>21</v>
      </c>
      <c r="H16" s="69">
        <f t="shared" si="3"/>
        <v>7.2413793103448282E-2</v>
      </c>
      <c r="I16" s="70">
        <f>IFERROR(INDEX(阻害要因×在院期間区分[#All],MATCH($AI17,阻害要因×在院期間区分[[#All],[値]],0),MATCH($AX$4,阻害要因×在院期間区分[#Headers],0)),0)+IFERROR(INDEX(阻害要因×在院期間区分[#All],MATCH($AI17,阻害要因×在院期間区分[[#All],[値]],0),MATCH($AY$4,阻害要因×在院期間区分[#Headers],0)),0)</f>
        <v>20</v>
      </c>
      <c r="J16" s="69">
        <f t="shared" si="4"/>
        <v>5.6179775280898875E-2</v>
      </c>
      <c r="K16" s="39">
        <f t="shared" si="5"/>
        <v>117</v>
      </c>
      <c r="L16" s="56" t="s">
        <v>166</v>
      </c>
      <c r="M16" s="66">
        <v>4</v>
      </c>
      <c r="N16" s="66">
        <v>12</v>
      </c>
      <c r="O16" s="66">
        <v>8</v>
      </c>
      <c r="P16" s="66">
        <v>14</v>
      </c>
      <c r="Q16" s="66">
        <v>4</v>
      </c>
      <c r="R16" s="66">
        <v>7</v>
      </c>
      <c r="S16" s="66">
        <v>15</v>
      </c>
      <c r="T16" s="66">
        <v>8</v>
      </c>
      <c r="U16" s="66">
        <v>4</v>
      </c>
      <c r="V16" s="66">
        <v>2</v>
      </c>
      <c r="W16" s="66">
        <v>5</v>
      </c>
      <c r="X16" s="66">
        <v>6</v>
      </c>
      <c r="Y16" s="66">
        <v>6</v>
      </c>
      <c r="Z16" s="66">
        <v>2</v>
      </c>
      <c r="AA16" s="66">
        <v>15</v>
      </c>
      <c r="AB16" s="66">
        <v>5</v>
      </c>
      <c r="AI16" s="383" t="s">
        <v>310</v>
      </c>
      <c r="AJ16" s="56"/>
    </row>
    <row r="17" spans="2:36" ht="20.25" customHeight="1" x14ac:dyDescent="0.15">
      <c r="B17" s="105" t="s">
        <v>39</v>
      </c>
      <c r="C17" s="112">
        <f>IFERROR(INDEX(阻害要因×在院期間区分[#All],MATCH($AI18,阻害要因×在院期間区分[[#All],[値]],0),MATCH($AJ$4,阻害要因×在院期間区分[#Headers],0)),0)+IFERROR(INDEX(阻害要因×在院期間区分[#All],MATCH($AI18,阻害要因×在院期間区分[[#All],[値]],0),MATCH($AK$4,阻害要因×在院期間区分[#Headers],0)),0)+IFERROR(INDEX(阻害要因×在院期間区分[#All],MATCH($AI18,阻害要因×在院期間区分[[#All],[値]],0),MATCH($AL$4,阻害要因×在院期間区分[#Headers],0)),0)+IFERROR(INDEX(阻害要因×在院期間区分[#All],MATCH($AI18,阻害要因×在院期間区分[[#All],[値]],0),MATCH($AM$4,阻害要因×在院期間区分[#Headers],0)),0)</f>
        <v>134</v>
      </c>
      <c r="D17" s="69">
        <f t="shared" si="1"/>
        <v>0.22148760330578512</v>
      </c>
      <c r="E17" s="70">
        <f>IFERROR(INDEX(阻害要因×在院期間区分[#All],MATCH($AI18,阻害要因×在院期間区分[[#All],[値]],0),MATCH($AN$4,阻害要因×在院期間区分[#Headers],0)),0)+IFERROR(INDEX(阻害要因×在院期間区分[#All],MATCH($AI18,阻害要因×在院期間区分[[#All],[値]],0),MATCH($AO$4,阻害要因×在院期間区分[#Headers],0)),0)+IFERROR(INDEX(阻害要因×在院期間区分[#All],MATCH($AI18,阻害要因×在院期間区分[[#All],[値]],0),MATCH($AP$4,阻害要因×在院期間区分[#Headers],0)),0)+IFERROR(INDEX(阻害要因×在院期間区分[#All],MATCH($AI18,阻害要因×在院期間区分[[#All],[値]],0),MATCH($AQ$4,阻害要因×在院期間区分[#Headers],0)),0)+IFERROR(INDEX(阻害要因×在院期間区分[#All],MATCH($AI18,阻害要因×在院期間区分[[#All],[値]],0),MATCH($AR$4,阻害要因×在院期間区分[#Headers],0)),0)</f>
        <v>275</v>
      </c>
      <c r="F17" s="69">
        <f t="shared" si="2"/>
        <v>0.38300835654596099</v>
      </c>
      <c r="G17" s="70">
        <f>IFERROR(INDEX(阻害要因×在院期間区分[#All],MATCH($AI18,阻害要因×在院期間区分[[#All],[値]],0),MATCH($AS$4,阻害要因×在院期間区分[#Headers],0)),0)+IFERROR(INDEX(阻害要因×在院期間区分[#All],MATCH($AI18,阻害要因×在院期間区分[[#All],[値]],0),MATCH($AT$4,阻害要因×在院期間区分[#Headers],0)),0)+IFERROR(INDEX(阻害要因×在院期間区分[#All],MATCH($AI18,阻害要因×在院期間区分[[#All],[値]],0),MATCH($AU$4,阻害要因×在院期間区分[#Headers],0)),0)+IFERROR(INDEX(阻害要因×在院期間区分[#All],MATCH($AI18,阻害要因×在院期間区分[[#All],[値]],0),MATCH($AV$4,阻害要因×在院期間区分[#Headers],0)),0)+IFERROR(INDEX(阻害要因×在院期間区分[#All],MATCH($AI18,阻害要因×在院期間区分[[#All],[値]],0),MATCH($AW$4,阻害要因×在院期間区分[#Headers],0)),0)</f>
        <v>131</v>
      </c>
      <c r="H17" s="69">
        <f t="shared" si="3"/>
        <v>0.4517241379310345</v>
      </c>
      <c r="I17" s="70">
        <f>IFERROR(INDEX(阻害要因×在院期間区分[#All],MATCH($AI18,阻害要因×在院期間区分[[#All],[値]],0),MATCH($AX$4,阻害要因×在院期間区分[#Headers],0)),0)+IFERROR(INDEX(阻害要因×在院期間区分[#All],MATCH($AI18,阻害要因×在院期間区分[[#All],[値]],0),MATCH($AY$4,阻害要因×在院期間区分[#Headers],0)),0)</f>
        <v>187</v>
      </c>
      <c r="J17" s="69">
        <f t="shared" si="4"/>
        <v>0.5252808988764045</v>
      </c>
      <c r="K17" s="39">
        <f t="shared" si="5"/>
        <v>727</v>
      </c>
      <c r="L17" s="56" t="s">
        <v>167</v>
      </c>
      <c r="M17" s="66">
        <v>14</v>
      </c>
      <c r="N17" s="66">
        <v>23</v>
      </c>
      <c r="O17" s="66">
        <v>42</v>
      </c>
      <c r="P17" s="66">
        <v>55</v>
      </c>
      <c r="Q17" s="66">
        <v>48</v>
      </c>
      <c r="R17" s="66">
        <v>46</v>
      </c>
      <c r="S17" s="66">
        <v>79</v>
      </c>
      <c r="T17" s="66">
        <v>59</v>
      </c>
      <c r="U17" s="66">
        <v>43</v>
      </c>
      <c r="V17" s="66">
        <v>28</v>
      </c>
      <c r="W17" s="66">
        <v>28</v>
      </c>
      <c r="X17" s="66">
        <v>26</v>
      </c>
      <c r="Y17" s="66">
        <v>24</v>
      </c>
      <c r="Z17" s="66">
        <v>25</v>
      </c>
      <c r="AA17" s="66">
        <v>114</v>
      </c>
      <c r="AB17" s="66">
        <v>73</v>
      </c>
      <c r="AI17" s="383" t="s">
        <v>166</v>
      </c>
      <c r="AJ17" s="56"/>
    </row>
    <row r="18" spans="2:36" ht="20.25" customHeight="1" x14ac:dyDescent="0.15">
      <c r="B18" s="105" t="s">
        <v>40</v>
      </c>
      <c r="C18" s="112">
        <f>IFERROR(INDEX(阻害要因×在院期間区分[#All],MATCH($AI19,阻害要因×在院期間区分[[#All],[値]],0),MATCH($AJ$4,阻害要因×在院期間区分[#Headers],0)),0)+IFERROR(INDEX(阻害要因×在院期間区分[#All],MATCH($AI19,阻害要因×在院期間区分[[#All],[値]],0),MATCH($AK$4,阻害要因×在院期間区分[#Headers],0)),0)+IFERROR(INDEX(阻害要因×在院期間区分[#All],MATCH($AI19,阻害要因×在院期間区分[[#All],[値]],0),MATCH($AL$4,阻害要因×在院期間区分[#Headers],0)),0)+IFERROR(INDEX(阻害要因×在院期間区分[#All],MATCH($AI19,阻害要因×在院期間区分[[#All],[値]],0),MATCH($AM$4,阻害要因×在院期間区分[#Headers],0)),0)</f>
        <v>222</v>
      </c>
      <c r="D18" s="69">
        <f t="shared" si="1"/>
        <v>0.3669421487603306</v>
      </c>
      <c r="E18" s="70">
        <f>IFERROR(INDEX(阻害要因×在院期間区分[#All],MATCH($AI19,阻害要因×在院期間区分[[#All],[値]],0),MATCH($AN$4,阻害要因×在院期間区分[#Headers],0)),0)+IFERROR(INDEX(阻害要因×在院期間区分[#All],MATCH($AI19,阻害要因×在院期間区分[[#All],[値]],0),MATCH($AO$4,阻害要因×在院期間区分[#Headers],0)),0)+IFERROR(INDEX(阻害要因×在院期間区分[#All],MATCH($AI19,阻害要因×在院期間区分[[#All],[値]],0),MATCH($AP$4,阻害要因×在院期間区分[#Headers],0)),0)+IFERROR(INDEX(阻害要因×在院期間区分[#All],MATCH($AI19,阻害要因×在院期間区分[[#All],[値]],0),MATCH($AQ$4,阻害要因×在院期間区分[#Headers],0)),0)+IFERROR(INDEX(阻害要因×在院期間区分[#All],MATCH($AI19,阻害要因×在院期間区分[[#All],[値]],0),MATCH($AR$4,阻害要因×在院期間区分[#Headers],0)),0)</f>
        <v>291</v>
      </c>
      <c r="F18" s="69">
        <f t="shared" si="2"/>
        <v>0.40529247910863508</v>
      </c>
      <c r="G18" s="70">
        <f>IFERROR(INDEX(阻害要因×在院期間区分[#All],MATCH($AI19,阻害要因×在院期間区分[[#All],[値]],0),MATCH($AS$4,阻害要因×在院期間区分[#Headers],0)),0)+IFERROR(INDEX(阻害要因×在院期間区分[#All],MATCH($AI19,阻害要因×在院期間区分[[#All],[値]],0),MATCH($AT$4,阻害要因×在院期間区分[#Headers],0)),0)+IFERROR(INDEX(阻害要因×在院期間区分[#All],MATCH($AI19,阻害要因×在院期間区分[[#All],[値]],0),MATCH($AU$4,阻害要因×在院期間区分[#Headers],0)),0)+IFERROR(INDEX(阻害要因×在院期間区分[#All],MATCH($AI19,阻害要因×在院期間区分[[#All],[値]],0),MATCH($AV$4,阻害要因×在院期間区分[#Headers],0)),0)+IFERROR(INDEX(阻害要因×在院期間区分[#All],MATCH($AI19,阻害要因×在院期間区分[[#All],[値]],0),MATCH($AW$4,阻害要因×在院期間区分[#Headers],0)),0)</f>
        <v>140</v>
      </c>
      <c r="H18" s="69">
        <f t="shared" si="3"/>
        <v>0.48275862068965519</v>
      </c>
      <c r="I18" s="70">
        <f>IFERROR(INDEX(阻害要因×在院期間区分[#All],MATCH($AI19,阻害要因×在院期間区分[[#All],[値]],0),MATCH($AX$4,阻害要因×在院期間区分[#Headers],0)),0)+IFERROR(INDEX(阻害要因×在院期間区分[#All],MATCH($AI19,阻害要因×在院期間区分[[#All],[値]],0),MATCH($AY$4,阻害要因×在院期間区分[#Headers],0)),0)</f>
        <v>187</v>
      </c>
      <c r="J18" s="69">
        <f t="shared" si="4"/>
        <v>0.5252808988764045</v>
      </c>
      <c r="K18" s="39">
        <f t="shared" si="5"/>
        <v>840</v>
      </c>
      <c r="L18" s="56" t="s">
        <v>168</v>
      </c>
      <c r="M18" s="66">
        <v>34</v>
      </c>
      <c r="N18" s="66">
        <v>48</v>
      </c>
      <c r="O18" s="66">
        <v>62</v>
      </c>
      <c r="P18" s="66">
        <v>78</v>
      </c>
      <c r="Q18" s="66">
        <v>47</v>
      </c>
      <c r="R18" s="66">
        <v>49</v>
      </c>
      <c r="S18" s="66">
        <v>93</v>
      </c>
      <c r="T18" s="66">
        <v>60</v>
      </c>
      <c r="U18" s="66">
        <v>42</v>
      </c>
      <c r="V18" s="66">
        <v>30</v>
      </c>
      <c r="W18" s="66">
        <v>24</v>
      </c>
      <c r="X18" s="66">
        <v>34</v>
      </c>
      <c r="Y18" s="66">
        <v>25</v>
      </c>
      <c r="Z18" s="66">
        <v>27</v>
      </c>
      <c r="AA18" s="66">
        <v>112</v>
      </c>
      <c r="AB18" s="66">
        <v>75</v>
      </c>
      <c r="AI18" s="383" t="s">
        <v>167</v>
      </c>
      <c r="AJ18" s="56"/>
    </row>
    <row r="19" spans="2:36" ht="20.25" customHeight="1" x14ac:dyDescent="0.15">
      <c r="B19" s="105" t="s">
        <v>41</v>
      </c>
      <c r="C19" s="121">
        <f>IFERROR(INDEX(阻害要因×在院期間区分[#All],MATCH($AI20,阻害要因×在院期間区分[[#All],[値]],0),MATCH($AJ$4,阻害要因×在院期間区分[#Headers],0)),0)+IFERROR(INDEX(阻害要因×在院期間区分[#All],MATCH($AI20,阻害要因×在院期間区分[[#All],[値]],0),MATCH($AK$4,阻害要因×在院期間区分[#Headers],0)),0)+IFERROR(INDEX(阻害要因×在院期間区分[#All],MATCH($AI20,阻害要因×在院期間区分[[#All],[値]],0),MATCH($AL$4,阻害要因×在院期間区分[#Headers],0)),0)+IFERROR(INDEX(阻害要因×在院期間区分[#All],MATCH($AI20,阻害要因×在院期間区分[[#All],[値]],0),MATCH($AM$4,阻害要因×在院期間区分[#Headers],0)),0)</f>
        <v>140</v>
      </c>
      <c r="D19" s="69">
        <f t="shared" si="1"/>
        <v>0.23140495867768596</v>
      </c>
      <c r="E19" s="72">
        <f>IFERROR(INDEX(阻害要因×在院期間区分[#All],MATCH($AI20,阻害要因×在院期間区分[[#All],[値]],0),MATCH($AN$4,阻害要因×在院期間区分[#Headers],0)),0)+IFERROR(INDEX(阻害要因×在院期間区分[#All],MATCH($AI20,阻害要因×在院期間区分[[#All],[値]],0),MATCH($AO$4,阻害要因×在院期間区分[#Headers],0)),0)+IFERROR(INDEX(阻害要因×在院期間区分[#All],MATCH($AI20,阻害要因×在院期間区分[[#All],[値]],0),MATCH($AP$4,阻害要因×在院期間区分[#Headers],0)),0)+IFERROR(INDEX(阻害要因×在院期間区分[#All],MATCH($AI20,阻害要因×在院期間区分[[#All],[値]],0),MATCH($AQ$4,阻害要因×在院期間区分[#Headers],0)),0)+IFERROR(INDEX(阻害要因×在院期間区分[#All],MATCH($AI20,阻害要因×在院期間区分[[#All],[値]],0),MATCH($AR$4,阻害要因×在院期間区分[#Headers],0)),0)</f>
        <v>223</v>
      </c>
      <c r="F19" s="69">
        <f t="shared" si="2"/>
        <v>0.31058495821727017</v>
      </c>
      <c r="G19" s="72">
        <f>IFERROR(INDEX(阻害要因×在院期間区分[#All],MATCH($AI20,阻害要因×在院期間区分[[#All],[値]],0),MATCH($AS$4,阻害要因×在院期間区分[#Headers],0)),0)+IFERROR(INDEX(阻害要因×在院期間区分[#All],MATCH($AI20,阻害要因×在院期間区分[[#All],[値]],0),MATCH($AT$4,阻害要因×在院期間区分[#Headers],0)),0)+IFERROR(INDEX(阻害要因×在院期間区分[#All],MATCH($AI20,阻害要因×在院期間区分[[#All],[値]],0),MATCH($AU$4,阻害要因×在院期間区分[#Headers],0)),0)+IFERROR(INDEX(阻害要因×在院期間区分[#All],MATCH($AI20,阻害要因×在院期間区分[[#All],[値]],0),MATCH($AV$4,阻害要因×在院期間区分[#Headers],0)),0)+IFERROR(INDEX(阻害要因×在院期間区分[#All],MATCH($AI20,阻害要因×在院期間区分[[#All],[値]],0),MATCH($AW$4,阻害要因×在院期間区分[#Headers],0)),0)</f>
        <v>111</v>
      </c>
      <c r="H19" s="69">
        <f t="shared" si="3"/>
        <v>0.38275862068965516</v>
      </c>
      <c r="I19" s="72">
        <f>IFERROR(INDEX(阻害要因×在院期間区分[#All],MATCH($AI20,阻害要因×在院期間区分[[#All],[値]],0),MATCH($AX$4,阻害要因×在院期間区分[#Headers],0)),0)+IFERROR(INDEX(阻害要因×在院期間区分[#All],MATCH($AI20,阻害要因×在院期間区分[[#All],[値]],0),MATCH($AY$4,阻害要因×在院期間区分[#Headers],0)),0)</f>
        <v>128</v>
      </c>
      <c r="J19" s="69">
        <f t="shared" si="4"/>
        <v>0.3595505617977528</v>
      </c>
      <c r="K19" s="39">
        <f t="shared" si="5"/>
        <v>602</v>
      </c>
      <c r="L19" s="56" t="s">
        <v>169</v>
      </c>
      <c r="M19" s="66">
        <v>25</v>
      </c>
      <c r="N19" s="66">
        <v>22</v>
      </c>
      <c r="O19" s="66">
        <v>39</v>
      </c>
      <c r="P19" s="66">
        <v>54</v>
      </c>
      <c r="Q19" s="66">
        <v>33</v>
      </c>
      <c r="R19" s="66">
        <v>32</v>
      </c>
      <c r="S19" s="66">
        <v>66</v>
      </c>
      <c r="T19" s="66">
        <v>53</v>
      </c>
      <c r="U19" s="66">
        <v>39</v>
      </c>
      <c r="V19" s="66">
        <v>31</v>
      </c>
      <c r="W19" s="66">
        <v>17</v>
      </c>
      <c r="X19" s="66">
        <v>28</v>
      </c>
      <c r="Y19" s="66">
        <v>16</v>
      </c>
      <c r="Z19" s="66">
        <v>19</v>
      </c>
      <c r="AA19" s="66">
        <v>85</v>
      </c>
      <c r="AB19" s="66">
        <v>43</v>
      </c>
      <c r="AI19" s="383" t="s">
        <v>168</v>
      </c>
      <c r="AJ19" s="56"/>
    </row>
    <row r="20" spans="2:36" ht="20.25" customHeight="1" x14ac:dyDescent="0.15">
      <c r="B20" s="105" t="s">
        <v>42</v>
      </c>
      <c r="C20" s="112">
        <f>IFERROR(INDEX(阻害要因×在院期間区分[#All],MATCH($AI21,阻害要因×在院期間区分[[#All],[値]],0),MATCH($AJ$4,阻害要因×在院期間区分[#Headers],0)),0)+IFERROR(INDEX(阻害要因×在院期間区分[#All],MATCH($AI21,阻害要因×在院期間区分[[#All],[値]],0),MATCH($AK$4,阻害要因×在院期間区分[#Headers],0)),0)+IFERROR(INDEX(阻害要因×在院期間区分[#All],MATCH($AI21,阻害要因×在院期間区分[[#All],[値]],0),MATCH($AL$4,阻害要因×在院期間区分[#Headers],0)),0)+IFERROR(INDEX(阻害要因×在院期間区分[#All],MATCH($AI21,阻害要因×在院期間区分[[#All],[値]],0),MATCH($AM$4,阻害要因×在院期間区分[#Headers],0)),0)</f>
        <v>53</v>
      </c>
      <c r="D20" s="69">
        <f t="shared" si="1"/>
        <v>8.7603305785123972E-2</v>
      </c>
      <c r="E20" s="70">
        <f>IFERROR(INDEX(阻害要因×在院期間区分[#All],MATCH($AI21,阻害要因×在院期間区分[[#All],[値]],0),MATCH($AN$4,阻害要因×在院期間区分[#Headers],0)),0)+IFERROR(INDEX(阻害要因×在院期間区分[#All],MATCH($AI21,阻害要因×在院期間区分[[#All],[値]],0),MATCH($AO$4,阻害要因×在院期間区分[#Headers],0)),0)+IFERROR(INDEX(阻害要因×在院期間区分[#All],MATCH($AI21,阻害要因×在院期間区分[[#All],[値]],0),MATCH($AP$4,阻害要因×在院期間区分[#Headers],0)),0)+IFERROR(INDEX(阻害要因×在院期間区分[#All],MATCH($AI21,阻害要因×在院期間区分[[#All],[値]],0),MATCH($AQ$4,阻害要因×在院期間区分[#Headers],0)),0)+IFERROR(INDEX(阻害要因×在院期間区分[#All],MATCH($AI21,阻害要因×在院期間区分[[#All],[値]],0),MATCH($AR$4,阻害要因×在院期間区分[#Headers],0)),0)</f>
        <v>59</v>
      </c>
      <c r="F20" s="69">
        <f t="shared" si="2"/>
        <v>8.2172701949860719E-2</v>
      </c>
      <c r="G20" s="70">
        <f>IFERROR(INDEX(阻害要因×在院期間区分[#All],MATCH($AI21,阻害要因×在院期間区分[[#All],[値]],0),MATCH($AS$4,阻害要因×在院期間区分[#Headers],0)),0)+IFERROR(INDEX(阻害要因×在院期間区分[#All],MATCH($AI21,阻害要因×在院期間区分[[#All],[値]],0),MATCH($AT$4,阻害要因×在院期間区分[#Headers],0)),0)+IFERROR(INDEX(阻害要因×在院期間区分[#All],MATCH($AI21,阻害要因×在院期間区分[[#All],[値]],0),MATCH($AU$4,阻害要因×在院期間区分[#Headers],0)),0)+IFERROR(INDEX(阻害要因×在院期間区分[#All],MATCH($AI21,阻害要因×在院期間区分[[#All],[値]],0),MATCH($AV$4,阻害要因×在院期間区分[#Headers],0)),0)+IFERROR(INDEX(阻害要因×在院期間区分[#All],MATCH($AI21,阻害要因×在院期間区分[[#All],[値]],0),MATCH($AW$4,阻害要因×在院期間区分[#Headers],0)),0)</f>
        <v>30</v>
      </c>
      <c r="H20" s="69">
        <f t="shared" si="3"/>
        <v>0.10344827586206896</v>
      </c>
      <c r="I20" s="70">
        <f>IFERROR(INDEX(阻害要因×在院期間区分[#All],MATCH($AI21,阻害要因×在院期間区分[[#All],[値]],0),MATCH($AX$4,阻害要因×在院期間区分[#Headers],0)),0)+IFERROR(INDEX(阻害要因×在院期間区分[#All],MATCH($AI21,阻害要因×在院期間区分[[#All],[値]],0),MATCH($AY$4,阻害要因×在院期間区分[#Headers],0)),0)</f>
        <v>41</v>
      </c>
      <c r="J20" s="69">
        <f t="shared" si="4"/>
        <v>0.1151685393258427</v>
      </c>
      <c r="K20" s="39">
        <f t="shared" si="5"/>
        <v>183</v>
      </c>
      <c r="L20" s="56" t="s">
        <v>170</v>
      </c>
      <c r="M20" s="66">
        <v>7</v>
      </c>
      <c r="N20" s="66">
        <v>12</v>
      </c>
      <c r="O20" s="66">
        <v>14</v>
      </c>
      <c r="P20" s="66">
        <v>20</v>
      </c>
      <c r="Q20" s="66">
        <v>4</v>
      </c>
      <c r="R20" s="66">
        <v>12</v>
      </c>
      <c r="S20" s="66">
        <v>25</v>
      </c>
      <c r="T20" s="66">
        <v>9</v>
      </c>
      <c r="U20" s="66">
        <v>9</v>
      </c>
      <c r="V20" s="66">
        <v>4</v>
      </c>
      <c r="W20" s="66">
        <v>6</v>
      </c>
      <c r="X20" s="66">
        <v>8</v>
      </c>
      <c r="Y20" s="66">
        <v>6</v>
      </c>
      <c r="Z20" s="66">
        <v>6</v>
      </c>
      <c r="AA20" s="66">
        <v>30</v>
      </c>
      <c r="AB20" s="66">
        <v>11</v>
      </c>
      <c r="AI20" s="383" t="s">
        <v>169</v>
      </c>
    </row>
    <row r="21" spans="2:36" ht="20.25" customHeight="1" x14ac:dyDescent="0.15">
      <c r="B21" s="105" t="s">
        <v>43</v>
      </c>
      <c r="C21" s="112">
        <f>IFERROR(INDEX(阻害要因×在院期間区分[#All],MATCH($AI22,阻害要因×在院期間区分[[#All],[値]],0),MATCH($AJ$4,阻害要因×在院期間区分[#Headers],0)),0)+IFERROR(INDEX(阻害要因×在院期間区分[#All],MATCH($AI22,阻害要因×在院期間区分[[#All],[値]],0),MATCH($AK$4,阻害要因×在院期間区分[#Headers],0)),0)+IFERROR(INDEX(阻害要因×在院期間区分[#All],MATCH($AI22,阻害要因×在院期間区分[[#All],[値]],0),MATCH($AL$4,阻害要因×在院期間区分[#Headers],0)),0)+IFERROR(INDEX(阻害要因×在院期間区分[#All],MATCH($AI22,阻害要因×在院期間区分[[#All],[値]],0),MATCH($AM$4,阻害要因×在院期間区分[#Headers],0)),0)</f>
        <v>146</v>
      </c>
      <c r="D21" s="69">
        <f t="shared" si="1"/>
        <v>0.24132231404958679</v>
      </c>
      <c r="E21" s="70">
        <f>IFERROR(INDEX(阻害要因×在院期間区分[#All],MATCH($AI22,阻害要因×在院期間区分[[#All],[値]],0),MATCH($AN$4,阻害要因×在院期間区分[#Headers],0)),0)+IFERROR(INDEX(阻害要因×在院期間区分[#All],MATCH($AI22,阻害要因×在院期間区分[[#All],[値]],0),MATCH($AO$4,阻害要因×在院期間区分[#Headers],0)),0)+IFERROR(INDEX(阻害要因×在院期間区分[#All],MATCH($AI22,阻害要因×在院期間区分[[#All],[値]],0),MATCH($AP$4,阻害要因×在院期間区分[#Headers],0)),0)+IFERROR(INDEX(阻害要因×在院期間区分[#All],MATCH($AI22,阻害要因×在院期間区分[[#All],[値]],0),MATCH($AQ$4,阻害要因×在院期間区分[#Headers],0)),0)+IFERROR(INDEX(阻害要因×在院期間区分[#All],MATCH($AI22,阻害要因×在院期間区分[[#All],[値]],0),MATCH($AR$4,阻害要因×在院期間区分[#Headers],0)),0)</f>
        <v>242</v>
      </c>
      <c r="F21" s="69">
        <f t="shared" si="2"/>
        <v>0.3370473537604457</v>
      </c>
      <c r="G21" s="70">
        <f>IFERROR(INDEX(阻害要因×在院期間区分[#All],MATCH($AI22,阻害要因×在院期間区分[[#All],[値]],0),MATCH($AS$4,阻害要因×在院期間区分[#Headers],0)),0)+IFERROR(INDEX(阻害要因×在院期間区分[#All],MATCH($AI22,阻害要因×在院期間区分[[#All],[値]],0),MATCH($AT$4,阻害要因×在院期間区分[#Headers],0)),0)+IFERROR(INDEX(阻害要因×在院期間区分[#All],MATCH($AI22,阻害要因×在院期間区分[[#All],[値]],0),MATCH($AU$4,阻害要因×在院期間区分[#Headers],0)),0)+IFERROR(INDEX(阻害要因×在院期間区分[#All],MATCH($AI22,阻害要因×在院期間区分[[#All],[値]],0),MATCH($AV$4,阻害要因×在院期間区分[#Headers],0)),0)+IFERROR(INDEX(阻害要因×在院期間区分[#All],MATCH($AI22,阻害要因×在院期間区分[[#All],[値]],0),MATCH($AW$4,阻害要因×在院期間区分[#Headers],0)),0)</f>
        <v>95</v>
      </c>
      <c r="H21" s="69">
        <f t="shared" si="3"/>
        <v>0.32758620689655171</v>
      </c>
      <c r="I21" s="70">
        <f>IFERROR(INDEX(阻害要因×在院期間区分[#All],MATCH($AI22,阻害要因×在院期間区分[[#All],[値]],0),MATCH($AX$4,阻害要因×在院期間区分[#Headers],0)),0)+IFERROR(INDEX(阻害要因×在院期間区分[#All],MATCH($AI22,阻害要因×在院期間区分[[#All],[値]],0),MATCH($AY$4,阻害要因×在院期間区分[#Headers],0)),0)</f>
        <v>130</v>
      </c>
      <c r="J21" s="69">
        <f t="shared" si="4"/>
        <v>0.3651685393258427</v>
      </c>
      <c r="K21" s="39">
        <f t="shared" si="5"/>
        <v>613</v>
      </c>
      <c r="L21" s="56" t="s">
        <v>171</v>
      </c>
      <c r="M21" s="66">
        <v>22</v>
      </c>
      <c r="N21" s="66">
        <v>33</v>
      </c>
      <c r="O21" s="66">
        <v>41</v>
      </c>
      <c r="P21" s="66">
        <v>50</v>
      </c>
      <c r="Q21" s="66">
        <v>32</v>
      </c>
      <c r="R21" s="66">
        <v>46</v>
      </c>
      <c r="S21" s="66">
        <v>76</v>
      </c>
      <c r="T21" s="66">
        <v>51</v>
      </c>
      <c r="U21" s="66">
        <v>37</v>
      </c>
      <c r="V21" s="66">
        <v>28</v>
      </c>
      <c r="W21" s="66">
        <v>19</v>
      </c>
      <c r="X21" s="66">
        <v>20</v>
      </c>
      <c r="Y21" s="66">
        <v>14</v>
      </c>
      <c r="Z21" s="66">
        <v>14</v>
      </c>
      <c r="AA21" s="66">
        <v>80</v>
      </c>
      <c r="AB21" s="66">
        <v>50</v>
      </c>
      <c r="AI21" s="383" t="s">
        <v>170</v>
      </c>
    </row>
    <row r="22" spans="2:36" ht="20.25" customHeight="1" x14ac:dyDescent="0.15">
      <c r="B22" s="105" t="s">
        <v>44</v>
      </c>
      <c r="C22" s="112">
        <f>IFERROR(INDEX(阻害要因×在院期間区分[#All],MATCH($AI23,阻害要因×在院期間区分[[#All],[値]],0),MATCH($AJ$4,阻害要因×在院期間区分[#Headers],0)),0)+IFERROR(INDEX(阻害要因×在院期間区分[#All],MATCH($AI23,阻害要因×在院期間区分[[#All],[値]],0),MATCH($AK$4,阻害要因×在院期間区分[#Headers],0)),0)+IFERROR(INDEX(阻害要因×在院期間区分[#All],MATCH($AI23,阻害要因×在院期間区分[[#All],[値]],0),MATCH($AL$4,阻害要因×在院期間区分[#Headers],0)),0)+IFERROR(INDEX(阻害要因×在院期間区分[#All],MATCH($AI23,阻害要因×在院期間区分[[#All],[値]],0),MATCH($AM$4,阻害要因×在院期間区分[#Headers],0)),0)</f>
        <v>94</v>
      </c>
      <c r="D22" s="69">
        <f t="shared" si="1"/>
        <v>0.15537190082644628</v>
      </c>
      <c r="E22" s="70">
        <f>IFERROR(INDEX(阻害要因×在院期間区分[#All],MATCH($AI23,阻害要因×在院期間区分[[#All],[値]],0),MATCH($AN$4,阻害要因×在院期間区分[#Headers],0)),0)+IFERROR(INDEX(阻害要因×在院期間区分[#All],MATCH($AI23,阻害要因×在院期間区分[[#All],[値]],0),MATCH($AO$4,阻害要因×在院期間区分[#Headers],0)),0)+IFERROR(INDEX(阻害要因×在院期間区分[#All],MATCH($AI23,阻害要因×在院期間区分[[#All],[値]],0),MATCH($AP$4,阻害要因×在院期間区分[#Headers],0)),0)+IFERROR(INDEX(阻害要因×在院期間区分[#All],MATCH($AI23,阻害要因×在院期間区分[[#All],[値]],0),MATCH($AQ$4,阻害要因×在院期間区分[#Headers],0)),0)+IFERROR(INDEX(阻害要因×在院期間区分[#All],MATCH($AI23,阻害要因×在院期間区分[[#All],[値]],0),MATCH($AR$4,阻害要因×在院期間区分[#Headers],0)),0)</f>
        <v>123</v>
      </c>
      <c r="F22" s="69">
        <f t="shared" si="2"/>
        <v>0.1713091922005571</v>
      </c>
      <c r="G22" s="70">
        <f>IFERROR(INDEX(阻害要因×在院期間区分[#All],MATCH($AI23,阻害要因×在院期間区分[[#All],[値]],0),MATCH($AS$4,阻害要因×在院期間区分[#Headers],0)),0)+IFERROR(INDEX(阻害要因×在院期間区分[#All],MATCH($AI23,阻害要因×在院期間区分[[#All],[値]],0),MATCH($AT$4,阻害要因×在院期間区分[#Headers],0)),0)+IFERROR(INDEX(阻害要因×在院期間区分[#All],MATCH($AI23,阻害要因×在院期間区分[[#All],[値]],0),MATCH($AU$4,阻害要因×在院期間区分[#Headers],0)),0)+IFERROR(INDEX(阻害要因×在院期間区分[#All],MATCH($AI23,阻害要因×在院期間区分[[#All],[値]],0),MATCH($AV$4,阻害要因×在院期間区分[#Headers],0)),0)+IFERROR(INDEX(阻害要因×在院期間区分[#All],MATCH($AI23,阻害要因×在院期間区分[[#All],[値]],0),MATCH($AW$4,阻害要因×在院期間区分[#Headers],0)),0)</f>
        <v>64</v>
      </c>
      <c r="H22" s="69">
        <f t="shared" si="3"/>
        <v>0.22068965517241379</v>
      </c>
      <c r="I22" s="70">
        <f>IFERROR(INDEX(阻害要因×在院期間区分[#All],MATCH($AI23,阻害要因×在院期間区分[[#All],[値]],0),MATCH($AX$4,阻害要因×在院期間区分[#Headers],0)),0)+IFERROR(INDEX(阻害要因×在院期間区分[#All],MATCH($AI23,阻害要因×在院期間区分[[#All],[値]],0),MATCH($AY$4,阻害要因×在院期間区分[#Headers],0)),0)</f>
        <v>86</v>
      </c>
      <c r="J22" s="69">
        <f t="shared" si="4"/>
        <v>0.24157303370786518</v>
      </c>
      <c r="K22" s="39">
        <f t="shared" si="5"/>
        <v>367</v>
      </c>
      <c r="L22" s="56" t="s">
        <v>172</v>
      </c>
      <c r="M22" s="66">
        <v>17</v>
      </c>
      <c r="N22" s="66">
        <v>22</v>
      </c>
      <c r="O22" s="66">
        <v>29</v>
      </c>
      <c r="P22" s="66">
        <v>26</v>
      </c>
      <c r="Q22" s="66">
        <v>26</v>
      </c>
      <c r="R22" s="66">
        <v>24</v>
      </c>
      <c r="S22" s="66">
        <v>34</v>
      </c>
      <c r="T22" s="66">
        <v>25</v>
      </c>
      <c r="U22" s="66">
        <v>14</v>
      </c>
      <c r="V22" s="66">
        <v>21</v>
      </c>
      <c r="W22" s="66">
        <v>11</v>
      </c>
      <c r="X22" s="66">
        <v>9</v>
      </c>
      <c r="Y22" s="66">
        <v>11</v>
      </c>
      <c r="Z22" s="66">
        <v>12</v>
      </c>
      <c r="AA22" s="66">
        <v>50</v>
      </c>
      <c r="AB22" s="66">
        <v>36</v>
      </c>
      <c r="AI22" s="383" t="s">
        <v>171</v>
      </c>
    </row>
    <row r="23" spans="2:36" ht="20.25" customHeight="1" x14ac:dyDescent="0.15">
      <c r="B23" s="105" t="s">
        <v>245</v>
      </c>
      <c r="C23" s="112">
        <f>IFERROR(INDEX(阻害要因×在院期間区分[#All],MATCH($AI24,阻害要因×在院期間区分[[#All],[値]],0),MATCH($AJ$4,阻害要因×在院期間区分[#Headers],0)),0)+IFERROR(INDEX(阻害要因×在院期間区分[#All],MATCH($AI24,阻害要因×在院期間区分[[#All],[値]],0),MATCH($AK$4,阻害要因×在院期間区分[#Headers],0)),0)+IFERROR(INDEX(阻害要因×在院期間区分[#All],MATCH($AI24,阻害要因×在院期間区分[[#All],[値]],0),MATCH($AL$4,阻害要因×在院期間区分[#Headers],0)),0)+IFERROR(INDEX(阻害要因×在院期間区分[#All],MATCH($AI24,阻害要因×在院期間区分[[#All],[値]],0),MATCH($AM$4,阻害要因×在院期間区分[#Headers],0)),0)</f>
        <v>91</v>
      </c>
      <c r="D23" s="69">
        <f t="shared" si="1"/>
        <v>0.15041322314049588</v>
      </c>
      <c r="E23" s="70">
        <f>IFERROR(INDEX(阻害要因×在院期間区分[#All],MATCH($AI24,阻害要因×在院期間区分[[#All],[値]],0),MATCH($AN$4,阻害要因×在院期間区分[#Headers],0)),0)+IFERROR(INDEX(阻害要因×在院期間区分[#All],MATCH($AI24,阻害要因×在院期間区分[[#All],[値]],0),MATCH($AO$4,阻害要因×在院期間区分[#Headers],0)),0)+IFERROR(INDEX(阻害要因×在院期間区分[#All],MATCH($AI24,阻害要因×在院期間区分[[#All],[値]],0),MATCH($AP$4,阻害要因×在院期間区分[#Headers],0)),0)+IFERROR(INDEX(阻害要因×在院期間区分[#All],MATCH($AI24,阻害要因×在院期間区分[[#All],[値]],0),MATCH($AQ$4,阻害要因×在院期間区分[#Headers],0)),0)+IFERROR(INDEX(阻害要因×在院期間区分[#All],MATCH($AI24,阻害要因×在院期間区分[[#All],[値]],0),MATCH($AR$4,阻害要因×在院期間区分[#Headers],0)),0)</f>
        <v>174</v>
      </c>
      <c r="F23" s="69">
        <f t="shared" si="2"/>
        <v>0.24233983286908078</v>
      </c>
      <c r="G23" s="70">
        <f>IFERROR(INDEX(阻害要因×在院期間区分[#All],MATCH($AI24,阻害要因×在院期間区分[[#All],[値]],0),MATCH($AS$4,阻害要因×在院期間区分[#Headers],0)),0)+IFERROR(INDEX(阻害要因×在院期間区分[#All],MATCH($AI24,阻害要因×在院期間区分[[#All],[値]],0),MATCH($AT$4,阻害要因×在院期間区分[#Headers],0)),0)+IFERROR(INDEX(阻害要因×在院期間区分[#All],MATCH($AI24,阻害要因×在院期間区分[[#All],[値]],0),MATCH($AU$4,阻害要因×在院期間区分[#Headers],0)),0)+IFERROR(INDEX(阻害要因×在院期間区分[#All],MATCH($AI24,阻害要因×在院期間区分[[#All],[値]],0),MATCH($AV$4,阻害要因×在院期間区分[#Headers],0)),0)+IFERROR(INDEX(阻害要因×在院期間区分[#All],MATCH($AI24,阻害要因×在院期間区分[[#All],[値]],0),MATCH($AW$4,阻害要因×在院期間区分[#Headers],0)),0)</f>
        <v>83</v>
      </c>
      <c r="H23" s="69">
        <f t="shared" si="3"/>
        <v>0.28620689655172415</v>
      </c>
      <c r="I23" s="70">
        <f>IFERROR(INDEX(阻害要因×在院期間区分[#All],MATCH($AI24,阻害要因×在院期間区分[[#All],[値]],0),MATCH($AX$4,阻害要因×在院期間区分[#Headers],0)),0)+IFERROR(INDEX(阻害要因×在院期間区分[#All],MATCH($AI24,阻害要因×在院期間区分[[#All],[値]],0),MATCH($AY$4,阻害要因×在院期間区分[#Headers],0)),0)</f>
        <v>97</v>
      </c>
      <c r="J23" s="69">
        <f t="shared" si="4"/>
        <v>0.27247191011235955</v>
      </c>
      <c r="K23" s="39">
        <f t="shared" si="5"/>
        <v>445</v>
      </c>
      <c r="L23" s="56" t="s">
        <v>173</v>
      </c>
      <c r="M23" s="66">
        <v>14</v>
      </c>
      <c r="N23" s="66">
        <v>18</v>
      </c>
      <c r="O23" s="66">
        <v>22</v>
      </c>
      <c r="P23" s="66">
        <v>37</v>
      </c>
      <c r="Q23" s="66">
        <v>29</v>
      </c>
      <c r="R23" s="66">
        <v>32</v>
      </c>
      <c r="S23" s="66">
        <v>61</v>
      </c>
      <c r="T23" s="66">
        <v>31</v>
      </c>
      <c r="U23" s="66">
        <v>21</v>
      </c>
      <c r="V23" s="66">
        <v>20</v>
      </c>
      <c r="W23" s="66">
        <v>23</v>
      </c>
      <c r="X23" s="66">
        <v>17</v>
      </c>
      <c r="Y23" s="66">
        <v>11</v>
      </c>
      <c r="Z23" s="66">
        <v>12</v>
      </c>
      <c r="AA23" s="66">
        <v>68</v>
      </c>
      <c r="AB23" s="66">
        <v>29</v>
      </c>
      <c r="AI23" s="383" t="s">
        <v>172</v>
      </c>
    </row>
    <row r="24" spans="2:36" ht="20.25" customHeight="1" x14ac:dyDescent="0.15">
      <c r="B24" s="105" t="s">
        <v>46</v>
      </c>
      <c r="C24" s="112">
        <f>IFERROR(INDEX(阻害要因×在院期間区分[#All],MATCH($AI25,阻害要因×在院期間区分[[#All],[値]],0),MATCH($AJ$4,阻害要因×在院期間区分[#Headers],0)),0)+IFERROR(INDEX(阻害要因×在院期間区分[#All],MATCH($AI25,阻害要因×在院期間区分[[#All],[値]],0),MATCH($AK$4,阻害要因×在院期間区分[#Headers],0)),0)+IFERROR(INDEX(阻害要因×在院期間区分[#All],MATCH($AI25,阻害要因×在院期間区分[[#All],[値]],0),MATCH($AL$4,阻害要因×在院期間区分[#Headers],0)),0)+IFERROR(INDEX(阻害要因×在院期間区分[#All],MATCH($AI25,阻害要因×在院期間区分[[#All],[値]],0),MATCH($AM$4,阻害要因×在院期間区分[#Headers],0)),0)</f>
        <v>266</v>
      </c>
      <c r="D24" s="69">
        <f t="shared" si="1"/>
        <v>0.4396694214876033</v>
      </c>
      <c r="E24" s="70">
        <f>IFERROR(INDEX(阻害要因×在院期間区分[#All],MATCH($AI25,阻害要因×在院期間区分[[#All],[値]],0),MATCH($AN$4,阻害要因×在院期間区分[#Headers],0)),0)+IFERROR(INDEX(阻害要因×在院期間区分[#All],MATCH($AI25,阻害要因×在院期間区分[[#All],[値]],0),MATCH($AO$4,阻害要因×在院期間区分[#Headers],0)),0)+IFERROR(INDEX(阻害要因×在院期間区分[#All],MATCH($AI25,阻害要因×在院期間区分[[#All],[値]],0),MATCH($AP$4,阻害要因×在院期間区分[#Headers],0)),0)+IFERROR(INDEX(阻害要因×在院期間区分[#All],MATCH($AI25,阻害要因×在院期間区分[[#All],[値]],0),MATCH($AQ$4,阻害要因×在院期間区分[#Headers],0)),0)+IFERROR(INDEX(阻害要因×在院期間区分[#All],MATCH($AI25,阻害要因×在院期間区分[[#All],[値]],0),MATCH($AR$4,阻害要因×在院期間区分[#Headers],0)),0)</f>
        <v>275</v>
      </c>
      <c r="F24" s="69">
        <f t="shared" si="2"/>
        <v>0.38300835654596099</v>
      </c>
      <c r="G24" s="70">
        <f>IFERROR(INDEX(阻害要因×在院期間区分[#All],MATCH($AI25,阻害要因×在院期間区分[[#All],[値]],0),MATCH($AS$4,阻害要因×在院期間区分[#Headers],0)),0)+IFERROR(INDEX(阻害要因×在院期間区分[#All],MATCH($AI25,阻害要因×在院期間区分[[#All],[値]],0),MATCH($AT$4,阻害要因×在院期間区分[#Headers],0)),0)+IFERROR(INDEX(阻害要因×在院期間区分[#All],MATCH($AI25,阻害要因×在院期間区分[[#All],[値]],0),MATCH($AU$4,阻害要因×在院期間区分[#Headers],0)),0)+IFERROR(INDEX(阻害要因×在院期間区分[#All],MATCH($AI25,阻害要因×在院期間区分[[#All],[値]],0),MATCH($AV$4,阻害要因×在院期間区分[#Headers],0)),0)+IFERROR(INDEX(阻害要因×在院期間区分[#All],MATCH($AI25,阻害要因×在院期間区分[[#All],[値]],0),MATCH($AW$4,阻害要因×在院期間区分[#Headers],0)),0)</f>
        <v>79</v>
      </c>
      <c r="H24" s="69">
        <f t="shared" si="3"/>
        <v>0.27241379310344827</v>
      </c>
      <c r="I24" s="70">
        <f>IFERROR(INDEX(阻害要因×在院期間区分[#All],MATCH($AI25,阻害要因×在院期間区分[[#All],[値]],0),MATCH($AX$4,阻害要因×在院期間区分[#Headers],0)),0)+IFERROR(INDEX(阻害要因×在院期間区分[#All],MATCH($AI25,阻害要因×在院期間区分[[#All],[値]],0),MATCH($AY$4,阻害要因×在院期間区分[#Headers],0)),0)</f>
        <v>89</v>
      </c>
      <c r="J24" s="69">
        <f t="shared" si="4"/>
        <v>0.25</v>
      </c>
      <c r="K24" s="39">
        <f t="shared" si="5"/>
        <v>709</v>
      </c>
      <c r="L24" s="56" t="s">
        <v>174</v>
      </c>
      <c r="M24" s="66">
        <v>35</v>
      </c>
      <c r="N24" s="66">
        <v>51</v>
      </c>
      <c r="O24" s="66">
        <v>89</v>
      </c>
      <c r="P24" s="66">
        <v>91</v>
      </c>
      <c r="Q24" s="66">
        <v>68</v>
      </c>
      <c r="R24" s="66">
        <v>49</v>
      </c>
      <c r="S24" s="66">
        <v>74</v>
      </c>
      <c r="T24" s="66">
        <v>54</v>
      </c>
      <c r="U24" s="66">
        <v>30</v>
      </c>
      <c r="V24" s="66">
        <v>25</v>
      </c>
      <c r="W24" s="66">
        <v>11</v>
      </c>
      <c r="X24" s="66">
        <v>16</v>
      </c>
      <c r="Y24" s="66">
        <v>14</v>
      </c>
      <c r="Z24" s="66">
        <v>13</v>
      </c>
      <c r="AA24" s="66">
        <v>62</v>
      </c>
      <c r="AB24" s="66">
        <v>27</v>
      </c>
      <c r="AI24" s="383" t="s">
        <v>173</v>
      </c>
    </row>
    <row r="25" spans="2:36" ht="20.25" customHeight="1" x14ac:dyDescent="0.15">
      <c r="B25" s="105" t="s">
        <v>47</v>
      </c>
      <c r="C25" s="112">
        <f>IFERROR(INDEX(阻害要因×在院期間区分[#All],MATCH($AI26,阻害要因×在院期間区分[[#All],[値]],0),MATCH($AJ$4,阻害要因×在院期間区分[#Headers],0)),0)+IFERROR(INDEX(阻害要因×在院期間区分[#All],MATCH($AI26,阻害要因×在院期間区分[[#All],[値]],0),MATCH($AK$4,阻害要因×在院期間区分[#Headers],0)),0)+IFERROR(INDEX(阻害要因×在院期間区分[#All],MATCH($AI26,阻害要因×在院期間区分[[#All],[値]],0),MATCH($AL$4,阻害要因×在院期間区分[#Headers],0)),0)+IFERROR(INDEX(阻害要因×在院期間区分[#All],MATCH($AI26,阻害要因×在院期間区分[[#All],[値]],0),MATCH($AM$4,阻害要因×在院期間区分[#Headers],0)),0)</f>
        <v>35</v>
      </c>
      <c r="D25" s="69">
        <f t="shared" si="1"/>
        <v>5.7851239669421489E-2</v>
      </c>
      <c r="E25" s="70">
        <f>IFERROR(INDEX(阻害要因×在院期間区分[#All],MATCH($AI26,阻害要因×在院期間区分[[#All],[値]],0),MATCH($AN$4,阻害要因×在院期間区分[#Headers],0)),0)+IFERROR(INDEX(阻害要因×在院期間区分[#All],MATCH($AI26,阻害要因×在院期間区分[[#All],[値]],0),MATCH($AO$4,阻害要因×在院期間区分[#Headers],0)),0)+IFERROR(INDEX(阻害要因×在院期間区分[#All],MATCH($AI26,阻害要因×在院期間区分[[#All],[値]],0),MATCH($AP$4,阻害要因×在院期間区分[#Headers],0)),0)+IFERROR(INDEX(阻害要因×在院期間区分[#All],MATCH($AI26,阻害要因×在院期間区分[[#All],[値]],0),MATCH($AQ$4,阻害要因×在院期間区分[#Headers],0)),0)+IFERROR(INDEX(阻害要因×在院期間区分[#All],MATCH($AI26,阻害要因×在院期間区分[[#All],[値]],0),MATCH($AR$4,阻害要因×在院期間区分[#Headers],0)),0)</f>
        <v>54</v>
      </c>
      <c r="F25" s="69">
        <f t="shared" si="2"/>
        <v>7.5208913649025072E-2</v>
      </c>
      <c r="G25" s="70">
        <f>IFERROR(INDEX(阻害要因×在院期間区分[#All],MATCH($AI26,阻害要因×在院期間区分[[#All],[値]],0),MATCH($AS$4,阻害要因×在院期間区分[#Headers],0)),0)+IFERROR(INDEX(阻害要因×在院期間区分[#All],MATCH($AI26,阻害要因×在院期間区分[[#All],[値]],0),MATCH($AT$4,阻害要因×在院期間区分[#Headers],0)),0)+IFERROR(INDEX(阻害要因×在院期間区分[#All],MATCH($AI26,阻害要因×在院期間区分[[#All],[値]],0),MATCH($AU$4,阻害要因×在院期間区分[#Headers],0)),0)+IFERROR(INDEX(阻害要因×在院期間区分[#All],MATCH($AI26,阻害要因×在院期間区分[[#All],[値]],0),MATCH($AV$4,阻害要因×在院期間区分[#Headers],0)),0)+IFERROR(INDEX(阻害要因×在院期間区分[#All],MATCH($AI26,阻害要因×在院期間区分[[#All],[値]],0),MATCH($AW$4,阻害要因×在院期間区分[#Headers],0)),0)</f>
        <v>15</v>
      </c>
      <c r="H25" s="69">
        <f t="shared" si="3"/>
        <v>5.1724137931034482E-2</v>
      </c>
      <c r="I25" s="70">
        <f>IFERROR(INDEX(阻害要因×在院期間区分[#All],MATCH($AI26,阻害要因×在院期間区分[[#All],[値]],0),MATCH($AX$4,阻害要因×在院期間区分[#Headers],0)),0)+IFERROR(INDEX(阻害要因×在院期間区分[#All],MATCH($AI26,阻害要因×在院期間区分[[#All],[値]],0),MATCH($AY$4,阻害要因×在院期間区分[#Headers],0)),0)</f>
        <v>17</v>
      </c>
      <c r="J25" s="69">
        <f t="shared" si="4"/>
        <v>4.7752808988764044E-2</v>
      </c>
      <c r="K25" s="39">
        <f t="shared" si="5"/>
        <v>121</v>
      </c>
      <c r="L25" s="56" t="s">
        <v>175</v>
      </c>
      <c r="M25" s="66">
        <v>2</v>
      </c>
      <c r="N25" s="66">
        <v>2</v>
      </c>
      <c r="O25" s="66">
        <v>12</v>
      </c>
      <c r="P25" s="66">
        <v>19</v>
      </c>
      <c r="Q25" s="66">
        <v>12</v>
      </c>
      <c r="R25" s="66">
        <v>11</v>
      </c>
      <c r="S25" s="66">
        <v>15</v>
      </c>
      <c r="T25" s="66">
        <v>11</v>
      </c>
      <c r="U25" s="66">
        <v>5</v>
      </c>
      <c r="V25" s="66">
        <v>6</v>
      </c>
      <c r="W25" s="66">
        <v>4</v>
      </c>
      <c r="X25" s="66">
        <v>2</v>
      </c>
      <c r="Y25" s="66">
        <v>1</v>
      </c>
      <c r="Z25" s="66">
        <v>2</v>
      </c>
      <c r="AA25" s="66">
        <v>12</v>
      </c>
      <c r="AB25" s="66">
        <v>5</v>
      </c>
      <c r="AI25" s="383" t="s">
        <v>174</v>
      </c>
    </row>
    <row r="26" spans="2:36" ht="20.25" customHeight="1" x14ac:dyDescent="0.15">
      <c r="B26" s="105" t="s">
        <v>48</v>
      </c>
      <c r="C26" s="112">
        <f>IFERROR(INDEX(阻害要因×在院期間区分[#All],MATCH($AI27,阻害要因×在院期間区分[[#All],[値]],0),MATCH($AJ$4,阻害要因×在院期間区分[#Headers],0)),0)+IFERROR(INDEX(阻害要因×在院期間区分[#All],MATCH($AI27,阻害要因×在院期間区分[[#All],[値]],0),MATCH($AK$4,阻害要因×在院期間区分[#Headers],0)),0)+IFERROR(INDEX(阻害要因×在院期間区分[#All],MATCH($AI27,阻害要因×在院期間区分[[#All],[値]],0),MATCH($AL$4,阻害要因×在院期間区分[#Headers],0)),0)+IFERROR(INDEX(阻害要因×在院期間区分[#All],MATCH($AI27,阻害要因×在院期間区分[[#All],[値]],0),MATCH($AM$4,阻害要因×在院期間区分[#Headers],0)),0)</f>
        <v>39</v>
      </c>
      <c r="D26" s="69">
        <f t="shared" si="1"/>
        <v>6.4462809917355368E-2</v>
      </c>
      <c r="E26" s="70">
        <f>IFERROR(INDEX(阻害要因×在院期間区分[#All],MATCH($AI27,阻害要因×在院期間区分[[#All],[値]],0),MATCH($AN$4,阻害要因×在院期間区分[#Headers],0)),0)+IFERROR(INDEX(阻害要因×在院期間区分[#All],MATCH($AI27,阻害要因×在院期間区分[[#All],[値]],0),MATCH($AO$4,阻害要因×在院期間区分[#Headers],0)),0)+IFERROR(INDEX(阻害要因×在院期間区分[#All],MATCH($AI27,阻害要因×在院期間区分[[#All],[値]],0),MATCH($AP$4,阻害要因×在院期間区分[#Headers],0)),0)+IFERROR(INDEX(阻害要因×在院期間区分[#All],MATCH($AI27,阻害要因×在院期間区分[[#All],[値]],0),MATCH($AQ$4,阻害要因×在院期間区分[#Headers],0)),0)+IFERROR(INDEX(阻害要因×在院期間区分[#All],MATCH($AI27,阻害要因×在院期間区分[[#All],[値]],0),MATCH($AR$4,阻害要因×在院期間区分[#Headers],0)),0)</f>
        <v>34</v>
      </c>
      <c r="F26" s="69">
        <f t="shared" si="2"/>
        <v>4.7353760445682451E-2</v>
      </c>
      <c r="G26" s="70">
        <f>IFERROR(INDEX(阻害要因×在院期間区分[#All],MATCH($AI27,阻害要因×在院期間区分[[#All],[値]],0),MATCH($AS$4,阻害要因×在院期間区分[#Headers],0)),0)+IFERROR(INDEX(阻害要因×在院期間区分[#All],MATCH($AI27,阻害要因×在院期間区分[[#All],[値]],0),MATCH($AT$4,阻害要因×在院期間区分[#Headers],0)),0)+IFERROR(INDEX(阻害要因×在院期間区分[#All],MATCH($AI27,阻害要因×在院期間区分[[#All],[値]],0),MATCH($AU$4,阻害要因×在院期間区分[#Headers],0)),0)+IFERROR(INDEX(阻害要因×在院期間区分[#All],MATCH($AI27,阻害要因×在院期間区分[[#All],[値]],0),MATCH($AV$4,阻害要因×在院期間区分[#Headers],0)),0)+IFERROR(INDEX(阻害要因×在院期間区分[#All],MATCH($AI27,阻害要因×在院期間区分[[#All],[値]],0),MATCH($AW$4,阻害要因×在院期間区分[#Headers],0)),0)</f>
        <v>22</v>
      </c>
      <c r="H26" s="69">
        <f t="shared" si="3"/>
        <v>7.586206896551724E-2</v>
      </c>
      <c r="I26" s="70">
        <f>IFERROR(INDEX(阻害要因×在院期間区分[#All],MATCH($AI27,阻害要因×在院期間区分[[#All],[値]],0),MATCH($AX$4,阻害要因×在院期間区分[#Headers],0)),0)+IFERROR(INDEX(阻害要因×在院期間区分[#All],MATCH($AI27,阻害要因×在院期間区分[[#All],[値]],0),MATCH($AY$4,阻害要因×在院期間区分[#Headers],0)),0)</f>
        <v>24</v>
      </c>
      <c r="J26" s="69">
        <f t="shared" si="4"/>
        <v>6.741573033707865E-2</v>
      </c>
      <c r="K26" s="39">
        <f t="shared" si="5"/>
        <v>119</v>
      </c>
      <c r="L26" s="56" t="s">
        <v>176</v>
      </c>
      <c r="M26" s="66">
        <v>11</v>
      </c>
      <c r="N26" s="66">
        <v>3</v>
      </c>
      <c r="O26" s="66">
        <v>14</v>
      </c>
      <c r="P26" s="66">
        <v>11</v>
      </c>
      <c r="Q26" s="66">
        <v>4</v>
      </c>
      <c r="R26" s="66">
        <v>5</v>
      </c>
      <c r="S26" s="66">
        <v>14</v>
      </c>
      <c r="T26" s="66">
        <v>6</v>
      </c>
      <c r="U26" s="66">
        <v>5</v>
      </c>
      <c r="V26" s="66">
        <v>3</v>
      </c>
      <c r="W26" s="66">
        <v>4</v>
      </c>
      <c r="X26" s="66">
        <v>3</v>
      </c>
      <c r="Y26" s="66">
        <v>3</v>
      </c>
      <c r="Z26" s="66">
        <v>9</v>
      </c>
      <c r="AA26" s="66">
        <v>15</v>
      </c>
      <c r="AB26" s="66">
        <v>9</v>
      </c>
      <c r="AI26" s="383" t="s">
        <v>175</v>
      </c>
    </row>
    <row r="27" spans="2:36" ht="20.25" customHeight="1" x14ac:dyDescent="0.15">
      <c r="B27" s="105" t="s">
        <v>49</v>
      </c>
      <c r="C27" s="114">
        <f>IFERROR(INDEX(阻害要因×在院期間区分[#All],MATCH($AI28,阻害要因×在院期間区分[[#All],[値]],0),MATCH($AJ$4,阻害要因×在院期間区分[#Headers],0)),0)+IFERROR(INDEX(阻害要因×在院期間区分[#All],MATCH($AI28,阻害要因×在院期間区分[[#All],[値]],0),MATCH($AK$4,阻害要因×在院期間区分[#Headers],0)),0)+IFERROR(INDEX(阻害要因×在院期間区分[#All],MATCH($AI28,阻害要因×在院期間区分[[#All],[値]],0),MATCH($AL$4,阻害要因×在院期間区分[#Headers],0)),0)+IFERROR(INDEX(阻害要因×在院期間区分[#All],MATCH($AI28,阻害要因×在院期間区分[[#All],[値]],0),MATCH($AM$4,阻害要因×在院期間区分[#Headers],0)),0)</f>
        <v>3</v>
      </c>
      <c r="D27" s="69">
        <f t="shared" si="1"/>
        <v>4.9586776859504135E-3</v>
      </c>
      <c r="E27" s="68">
        <f>IFERROR(INDEX(阻害要因×在院期間区分[#All],MATCH($AI28,阻害要因×在院期間区分[[#All],[値]],0),MATCH($AN$4,阻害要因×在院期間区分[#Headers],0)),0)+IFERROR(INDEX(阻害要因×在院期間区分[#All],MATCH($AI28,阻害要因×在院期間区分[[#All],[値]],0),MATCH($AO$4,阻害要因×在院期間区分[#Headers],0)),0)+IFERROR(INDEX(阻害要因×在院期間区分[#All],MATCH($AI28,阻害要因×在院期間区分[[#All],[値]],0),MATCH($AP$4,阻害要因×在院期間区分[#Headers],0)),0)+IFERROR(INDEX(阻害要因×在院期間区分[#All],MATCH($AI28,阻害要因×在院期間区分[[#All],[値]],0),MATCH($AQ$4,阻害要因×在院期間区分[#Headers],0)),0)+IFERROR(INDEX(阻害要因×在院期間区分[#All],MATCH($AI28,阻害要因×在院期間区分[[#All],[値]],0),MATCH($AR$4,阻害要因×在院期間区分[#Headers],0)),0)</f>
        <v>2</v>
      </c>
      <c r="F27" s="69">
        <f t="shared" si="2"/>
        <v>2.7855153203342618E-3</v>
      </c>
      <c r="G27" s="68">
        <f>IFERROR(INDEX(阻害要因×在院期間区分[#All],MATCH($AI28,阻害要因×在院期間区分[[#All],[値]],0),MATCH($AS$4,阻害要因×在院期間区分[#Headers],0)),0)+IFERROR(INDEX(阻害要因×在院期間区分[#All],MATCH($AI28,阻害要因×在院期間区分[[#All],[値]],0),MATCH($AT$4,阻害要因×在院期間区分[#Headers],0)),0)+IFERROR(INDEX(阻害要因×在院期間区分[#All],MATCH($AI28,阻害要因×在院期間区分[[#All],[値]],0),MATCH($AU$4,阻害要因×在院期間区分[#Headers],0)),0)+IFERROR(INDEX(阻害要因×在院期間区分[#All],MATCH($AI28,阻害要因×在院期間区分[[#All],[値]],0),MATCH($AV$4,阻害要因×在院期間区分[#Headers],0)),0)+IFERROR(INDEX(阻害要因×在院期間区分[#All],MATCH($AI28,阻害要因×在院期間区分[[#All],[値]],0),MATCH($AW$4,阻害要因×在院期間区分[#Headers],0)),0)</f>
        <v>2</v>
      </c>
      <c r="H27" s="69">
        <f t="shared" si="3"/>
        <v>6.8965517241379309E-3</v>
      </c>
      <c r="I27" s="68">
        <f>IFERROR(INDEX(阻害要因×在院期間区分[#All],MATCH($AI28,阻害要因×在院期間区分[[#All],[値]],0),MATCH($AX$4,阻害要因×在院期間区分[#Headers],0)),0)+IFERROR(INDEX(阻害要因×在院期間区分[#All],MATCH($AI28,阻害要因×在院期間区分[[#All],[値]],0),MATCH($AY$4,阻害要因×在院期間区分[#Headers],0)),0)</f>
        <v>4</v>
      </c>
      <c r="J27" s="69">
        <f t="shared" si="4"/>
        <v>1.1235955056179775E-2</v>
      </c>
      <c r="K27" s="39">
        <f t="shared" si="5"/>
        <v>11</v>
      </c>
      <c r="L27" s="56" t="s">
        <v>177</v>
      </c>
      <c r="M27" s="66">
        <v>0</v>
      </c>
      <c r="N27" s="66">
        <v>0</v>
      </c>
      <c r="O27" s="66">
        <v>3</v>
      </c>
      <c r="P27" s="66">
        <v>0</v>
      </c>
      <c r="Q27" s="66">
        <v>0</v>
      </c>
      <c r="R27" s="66">
        <v>0</v>
      </c>
      <c r="S27" s="66">
        <v>1</v>
      </c>
      <c r="T27" s="66">
        <v>1</v>
      </c>
      <c r="U27" s="66">
        <v>0</v>
      </c>
      <c r="V27" s="66">
        <v>0</v>
      </c>
      <c r="W27" s="66">
        <v>0</v>
      </c>
      <c r="X27" s="66">
        <v>0</v>
      </c>
      <c r="Y27" s="66">
        <v>1</v>
      </c>
      <c r="Z27" s="66">
        <v>1</v>
      </c>
      <c r="AA27" s="66">
        <v>4</v>
      </c>
      <c r="AB27" s="66">
        <v>0</v>
      </c>
      <c r="AI27" s="383" t="s">
        <v>176</v>
      </c>
    </row>
    <row r="28" spans="2:36" ht="20.25" customHeight="1" x14ac:dyDescent="0.15">
      <c r="B28" s="105" t="s">
        <v>50</v>
      </c>
      <c r="C28" s="112">
        <f>IFERROR(INDEX(阻害要因×在院期間区分[#All],MATCH($AI29,阻害要因×在院期間区分[[#All],[値]],0),MATCH($AJ$4,阻害要因×在院期間区分[#Headers],0)),0)+IFERROR(INDEX(阻害要因×在院期間区分[#All],MATCH($AI29,阻害要因×在院期間区分[[#All],[値]],0),MATCH($AK$4,阻害要因×在院期間区分[#Headers],0)),0)+IFERROR(INDEX(阻害要因×在院期間区分[#All],MATCH($AI29,阻害要因×在院期間区分[[#All],[値]],0),MATCH($AL$4,阻害要因×在院期間区分[#Headers],0)),0)+IFERROR(INDEX(阻害要因×在院期間区分[#All],MATCH($AI29,阻害要因×在院期間区分[[#All],[値]],0),MATCH($AM$4,阻害要因×在院期間区分[#Headers],0)),0)</f>
        <v>54</v>
      </c>
      <c r="D28" s="69">
        <f t="shared" si="1"/>
        <v>8.9256198347107435E-2</v>
      </c>
      <c r="E28" s="70">
        <f>IFERROR(INDEX(阻害要因×在院期間区分[#All],MATCH($AI29,阻害要因×在院期間区分[[#All],[値]],0),MATCH($AN$4,阻害要因×在院期間区分[#Headers],0)),0)+IFERROR(INDEX(阻害要因×在院期間区分[#All],MATCH($AI29,阻害要因×在院期間区分[[#All],[値]],0),MATCH($AO$4,阻害要因×在院期間区分[#Headers],0)),0)+IFERROR(INDEX(阻害要因×在院期間区分[#All],MATCH($AI29,阻害要因×在院期間区分[[#All],[値]],0),MATCH($AP$4,阻害要因×在院期間区分[#Headers],0)),0)+IFERROR(INDEX(阻害要因×在院期間区分[#All],MATCH($AI29,阻害要因×在院期間区分[[#All],[値]],0),MATCH($AQ$4,阻害要因×在院期間区分[#Headers],0)),0)+IFERROR(INDEX(阻害要因×在院期間区分[#All],MATCH($AI29,阻害要因×在院期間区分[[#All],[値]],0),MATCH($AR$4,阻害要因×在院期間区分[#Headers],0)),0)</f>
        <v>71</v>
      </c>
      <c r="F28" s="69">
        <f t="shared" si="2"/>
        <v>9.8885793871866301E-2</v>
      </c>
      <c r="G28" s="70">
        <f>IFERROR(INDEX(阻害要因×在院期間区分[#All],MATCH($AI29,阻害要因×在院期間区分[[#All],[値]],0),MATCH($AS$4,阻害要因×在院期間区分[#Headers],0)),0)+IFERROR(INDEX(阻害要因×在院期間区分[#All],MATCH($AI29,阻害要因×在院期間区分[[#All],[値]],0),MATCH($AT$4,阻害要因×在院期間区分[#Headers],0)),0)+IFERROR(INDEX(阻害要因×在院期間区分[#All],MATCH($AI29,阻害要因×在院期間区分[[#All],[値]],0),MATCH($AU$4,阻害要因×在院期間区分[#Headers],0)),0)+IFERROR(INDEX(阻害要因×在院期間区分[#All],MATCH($AI29,阻害要因×在院期間区分[[#All],[値]],0),MATCH($AV$4,阻害要因×在院期間区分[#Headers],0)),0)+IFERROR(INDEX(阻害要因×在院期間区分[#All],MATCH($AI29,阻害要因×在院期間区分[[#All],[値]],0),MATCH($AW$4,阻害要因×在院期間区分[#Headers],0)),0)</f>
        <v>17</v>
      </c>
      <c r="H28" s="69">
        <f t="shared" si="3"/>
        <v>5.8620689655172413E-2</v>
      </c>
      <c r="I28" s="70">
        <f>IFERROR(INDEX(阻害要因×在院期間区分[#All],MATCH($AI29,阻害要因×在院期間区分[[#All],[値]],0),MATCH($AX$4,阻害要因×在院期間区分[#Headers],0)),0)+IFERROR(INDEX(阻害要因×在院期間区分[#All],MATCH($AI29,阻害要因×在院期間区分[[#All],[値]],0),MATCH($AY$4,阻害要因×在院期間区分[#Headers],0)),0)</f>
        <v>23</v>
      </c>
      <c r="J28" s="69">
        <f t="shared" si="4"/>
        <v>6.4606741573033713E-2</v>
      </c>
      <c r="K28" s="39">
        <f t="shared" si="5"/>
        <v>165</v>
      </c>
      <c r="L28" s="56" t="s">
        <v>178</v>
      </c>
      <c r="M28" s="66">
        <v>9</v>
      </c>
      <c r="N28" s="66">
        <v>13</v>
      </c>
      <c r="O28" s="66">
        <v>17</v>
      </c>
      <c r="P28" s="66">
        <v>15</v>
      </c>
      <c r="Q28" s="66">
        <v>11</v>
      </c>
      <c r="R28" s="66">
        <v>20</v>
      </c>
      <c r="S28" s="66">
        <v>20</v>
      </c>
      <c r="T28" s="66">
        <v>18</v>
      </c>
      <c r="U28" s="66">
        <v>2</v>
      </c>
      <c r="V28" s="66">
        <v>5</v>
      </c>
      <c r="W28" s="66">
        <v>5</v>
      </c>
      <c r="X28" s="66">
        <v>3</v>
      </c>
      <c r="Y28" s="66">
        <v>0</v>
      </c>
      <c r="Z28" s="66">
        <v>4</v>
      </c>
      <c r="AA28" s="66">
        <v>20</v>
      </c>
      <c r="AB28" s="66">
        <v>3</v>
      </c>
      <c r="AI28" s="383" t="s">
        <v>177</v>
      </c>
    </row>
    <row r="29" spans="2:36" ht="20.25" customHeight="1" x14ac:dyDescent="0.15">
      <c r="B29" s="105" t="s">
        <v>51</v>
      </c>
      <c r="C29" s="112">
        <f>IFERROR(INDEX(阻害要因×在院期間区分[#All],MATCH($AI30,阻害要因×在院期間区分[[#All],[値]],0),MATCH($AJ$4,阻害要因×在院期間区分[#Headers],0)),0)+IFERROR(INDEX(阻害要因×在院期間区分[#All],MATCH($AI30,阻害要因×在院期間区分[[#All],[値]],0),MATCH($AK$4,阻害要因×在院期間区分[#Headers],0)),0)+IFERROR(INDEX(阻害要因×在院期間区分[#All],MATCH($AI30,阻害要因×在院期間区分[[#All],[値]],0),MATCH($AL$4,阻害要因×在院期間区分[#Headers],0)),0)+IFERROR(INDEX(阻害要因×在院期間区分[#All],MATCH($AI30,阻害要因×在院期間区分[[#All],[値]],0),MATCH($AM$4,阻害要因×在院期間区分[#Headers],0)),0)</f>
        <v>53</v>
      </c>
      <c r="D29" s="69">
        <f t="shared" si="1"/>
        <v>8.7603305785123972E-2</v>
      </c>
      <c r="E29" s="70">
        <f>IFERROR(INDEX(阻害要因×在院期間区分[#All],MATCH($AI30,阻害要因×在院期間区分[[#All],[値]],0),MATCH($AN$4,阻害要因×在院期間区分[#Headers],0)),0)+IFERROR(INDEX(阻害要因×在院期間区分[#All],MATCH($AI30,阻害要因×在院期間区分[[#All],[値]],0),MATCH($AO$4,阻害要因×在院期間区分[#Headers],0)),0)+IFERROR(INDEX(阻害要因×在院期間区分[#All],MATCH($AI30,阻害要因×在院期間区分[[#All],[値]],0),MATCH($AP$4,阻害要因×在院期間区分[#Headers],0)),0)+IFERROR(INDEX(阻害要因×在院期間区分[#All],MATCH($AI30,阻害要因×在院期間区分[[#All],[値]],0),MATCH($AQ$4,阻害要因×在院期間区分[#Headers],0)),0)+IFERROR(INDEX(阻害要因×在院期間区分[#All],MATCH($AI30,阻害要因×在院期間区分[[#All],[値]],0),MATCH($AR$4,阻害要因×在院期間区分[#Headers],0)),0)</f>
        <v>64</v>
      </c>
      <c r="F29" s="69">
        <f t="shared" si="2"/>
        <v>8.9136490250696379E-2</v>
      </c>
      <c r="G29" s="70">
        <f>IFERROR(INDEX(阻害要因×在院期間区分[#All],MATCH($AI30,阻害要因×在院期間区分[[#All],[値]],0),MATCH($AS$4,阻害要因×在院期間区分[#Headers],0)),0)+IFERROR(INDEX(阻害要因×在院期間区分[#All],MATCH($AI30,阻害要因×在院期間区分[[#All],[値]],0),MATCH($AT$4,阻害要因×在院期間区分[#Headers],0)),0)+IFERROR(INDEX(阻害要因×在院期間区分[#All],MATCH($AI30,阻害要因×在院期間区分[[#All],[値]],0),MATCH($AU$4,阻害要因×在院期間区分[#Headers],0)),0)+IFERROR(INDEX(阻害要因×在院期間区分[#All],MATCH($AI30,阻害要因×在院期間区分[[#All],[値]],0),MATCH($AV$4,阻害要因×在院期間区分[#Headers],0)),0)+IFERROR(INDEX(阻害要因×在院期間区分[#All],MATCH($AI30,阻害要因×在院期間区分[[#All],[値]],0),MATCH($AW$4,阻害要因×在院期間区分[#Headers],0)),0)</f>
        <v>28</v>
      </c>
      <c r="H29" s="69">
        <f t="shared" si="3"/>
        <v>9.6551724137931033E-2</v>
      </c>
      <c r="I29" s="70">
        <f>IFERROR(INDEX(阻害要因×在院期間区分[#All],MATCH($AI30,阻害要因×在院期間区分[[#All],[値]],0),MATCH($AX$4,阻害要因×在院期間区分[#Headers],0)),0)+IFERROR(INDEX(阻害要因×在院期間区分[#All],MATCH($AI30,阻害要因×在院期間区分[[#All],[値]],0),MATCH($AY$4,阻害要因×在院期間区分[#Headers],0)),0)</f>
        <v>37</v>
      </c>
      <c r="J29" s="69">
        <f t="shared" si="4"/>
        <v>0.10393258426966293</v>
      </c>
      <c r="K29" s="39">
        <f t="shared" si="5"/>
        <v>182</v>
      </c>
      <c r="L29" s="56" t="s">
        <v>179</v>
      </c>
      <c r="M29" s="66">
        <v>13</v>
      </c>
      <c r="N29" s="66">
        <v>15</v>
      </c>
      <c r="O29" s="66">
        <v>18</v>
      </c>
      <c r="P29" s="66">
        <v>7</v>
      </c>
      <c r="Q29" s="66">
        <v>9</v>
      </c>
      <c r="R29" s="66">
        <v>16</v>
      </c>
      <c r="S29" s="66">
        <v>17</v>
      </c>
      <c r="T29" s="66">
        <v>14</v>
      </c>
      <c r="U29" s="66">
        <v>8</v>
      </c>
      <c r="V29" s="66">
        <v>8</v>
      </c>
      <c r="W29" s="66">
        <v>9</v>
      </c>
      <c r="X29" s="66">
        <v>4</v>
      </c>
      <c r="Y29" s="66">
        <v>5</v>
      </c>
      <c r="Z29" s="66">
        <v>2</v>
      </c>
      <c r="AA29" s="66">
        <v>30</v>
      </c>
      <c r="AB29" s="66">
        <v>7</v>
      </c>
      <c r="AI29" s="383" t="s">
        <v>178</v>
      </c>
    </row>
    <row r="30" spans="2:36" ht="20.25" customHeight="1" x14ac:dyDescent="0.15">
      <c r="B30" s="105" t="s">
        <v>247</v>
      </c>
      <c r="C30" s="112">
        <f>IFERROR(INDEX(阻害要因×在院期間区分[#All],MATCH($AI31,阻害要因×在院期間区分[[#All],[値]],0),MATCH($AJ$4,阻害要因×在院期間区分[#Headers],0)),0)+IFERROR(INDEX(阻害要因×在院期間区分[#All],MATCH($AI31,阻害要因×在院期間区分[[#All],[値]],0),MATCH($AK$4,阻害要因×在院期間区分[#Headers],0)),0)+IFERROR(INDEX(阻害要因×在院期間区分[#All],MATCH($AI31,阻害要因×在院期間区分[[#All],[値]],0),MATCH($AL$4,阻害要因×在院期間区分[#Headers],0)),0)+IFERROR(INDEX(阻害要因×在院期間区分[#All],MATCH($AI31,阻害要因×在院期間区分[[#All],[値]],0),MATCH($AM$4,阻害要因×在院期間区分[#Headers],0)),0)</f>
        <v>13</v>
      </c>
      <c r="D30" s="69">
        <f t="shared" si="1"/>
        <v>2.1487603305785124E-2</v>
      </c>
      <c r="E30" s="70">
        <f>IFERROR(INDEX(阻害要因×在院期間区分[#All],MATCH($AI31,阻害要因×在院期間区分[[#All],[値]],0),MATCH($AN$4,阻害要因×在院期間区分[#Headers],0)),0)+IFERROR(INDEX(阻害要因×在院期間区分[#All],MATCH($AI31,阻害要因×在院期間区分[[#All],[値]],0),MATCH($AO$4,阻害要因×在院期間区分[#Headers],0)),0)+IFERROR(INDEX(阻害要因×在院期間区分[#All],MATCH($AI31,阻害要因×在院期間区分[[#All],[値]],0),MATCH($AP$4,阻害要因×在院期間区分[#Headers],0)),0)+IFERROR(INDEX(阻害要因×在院期間区分[#All],MATCH($AI31,阻害要因×在院期間区分[[#All],[値]],0),MATCH($AQ$4,阻害要因×在院期間区分[#Headers],0)),0)+IFERROR(INDEX(阻害要因×在院期間区分[#All],MATCH($AI31,阻害要因×在院期間区分[[#All],[値]],0),MATCH($AR$4,阻害要因×在院期間区分[#Headers],0)),0)</f>
        <v>14</v>
      </c>
      <c r="F30" s="69">
        <f t="shared" si="2"/>
        <v>1.9498607242339833E-2</v>
      </c>
      <c r="G30" s="70">
        <f>IFERROR(INDEX(阻害要因×在院期間区分[#All],MATCH($AI31,阻害要因×在院期間区分[[#All],[値]],0),MATCH($AS$4,阻害要因×在院期間区分[#Headers],0)),0)+IFERROR(INDEX(阻害要因×在院期間区分[#All],MATCH($AI31,阻害要因×在院期間区分[[#All],[値]],0),MATCH($AT$4,阻害要因×在院期間区分[#Headers],0)),0)+IFERROR(INDEX(阻害要因×在院期間区分[#All],MATCH($AI31,阻害要因×在院期間区分[[#All],[値]],0),MATCH($AU$4,阻害要因×在院期間区分[#Headers],0)),0)+IFERROR(INDEX(阻害要因×在院期間区分[#All],MATCH($AI31,阻害要因×在院期間区分[[#All],[値]],0),MATCH($AV$4,阻害要因×在院期間区分[#Headers],0)),0)+IFERROR(INDEX(阻害要因×在院期間区分[#All],MATCH($AI31,阻害要因×在院期間区分[[#All],[値]],0),MATCH($AW$4,阻害要因×在院期間区分[#Headers],0)),0)</f>
        <v>6</v>
      </c>
      <c r="H30" s="69">
        <f t="shared" si="3"/>
        <v>2.0689655172413793E-2</v>
      </c>
      <c r="I30" s="70">
        <f>IFERROR(INDEX(阻害要因×在院期間区分[#All],MATCH($AI31,阻害要因×在院期間区分[[#All],[値]],0),MATCH($AX$4,阻害要因×在院期間区分[#Headers],0)),0)+IFERROR(INDEX(阻害要因×在院期間区分[#All],MATCH($AI31,阻害要因×在院期間区分[[#All],[値]],0),MATCH($AY$4,阻害要因×在院期間区分[#Headers],0)),0)</f>
        <v>1</v>
      </c>
      <c r="J30" s="69">
        <f t="shared" si="4"/>
        <v>2.8089887640449437E-3</v>
      </c>
      <c r="K30" s="39">
        <f t="shared" si="5"/>
        <v>34</v>
      </c>
      <c r="L30" s="56" t="s">
        <v>180</v>
      </c>
      <c r="M30" s="66">
        <v>4</v>
      </c>
      <c r="N30" s="66">
        <v>2</v>
      </c>
      <c r="O30" s="66">
        <v>3</v>
      </c>
      <c r="P30" s="66">
        <v>4</v>
      </c>
      <c r="Q30" s="66">
        <v>3</v>
      </c>
      <c r="R30" s="66">
        <v>3</v>
      </c>
      <c r="S30" s="66">
        <v>3</v>
      </c>
      <c r="T30" s="66">
        <v>2</v>
      </c>
      <c r="U30" s="66">
        <v>3</v>
      </c>
      <c r="V30" s="66">
        <v>2</v>
      </c>
      <c r="W30" s="66">
        <v>0</v>
      </c>
      <c r="X30" s="66">
        <v>1</v>
      </c>
      <c r="Y30" s="66">
        <v>1</v>
      </c>
      <c r="Z30" s="66">
        <v>2</v>
      </c>
      <c r="AA30" s="66">
        <v>1</v>
      </c>
      <c r="AB30" s="66">
        <v>0</v>
      </c>
      <c r="AI30" s="383" t="s">
        <v>179</v>
      </c>
    </row>
    <row r="31" spans="2:36" ht="20.25" customHeight="1" x14ac:dyDescent="0.15">
      <c r="B31" s="107" t="s">
        <v>53</v>
      </c>
      <c r="C31" s="74">
        <f>IFERROR(INDEX(阻害要因×在院期間区分[#All],MATCH($AI32,阻害要因×在院期間区分[[#All],[値]],0),MATCH($AJ$4,阻害要因×在院期間区分[#Headers],0)),0)+IFERROR(INDEX(阻害要因×在院期間区分[#All],MATCH($AI32,阻害要因×在院期間区分[[#All],[値]],0),MATCH($AK$4,阻害要因×在院期間区分[#Headers],0)),0)+IFERROR(INDEX(阻害要因×在院期間区分[#All],MATCH($AI32,阻害要因×在院期間区分[[#All],[値]],0),MATCH($AL$4,阻害要因×在院期間区分[#Headers],0)),0)+IFERROR(INDEX(阻害要因×在院期間区分[#All],MATCH($AI32,阻害要因×在院期間区分[[#All],[値]],0),MATCH($AM$4,阻害要因×在院期間区分[#Headers],0)),0)</f>
        <v>47</v>
      </c>
      <c r="D31" s="77">
        <f t="shared" si="1"/>
        <v>7.768595041322314E-2</v>
      </c>
      <c r="E31" s="74">
        <f>IFERROR(INDEX(阻害要因×在院期間区分[#All],MATCH($AI32,阻害要因×在院期間区分[[#All],[値]],0),MATCH($AN$4,阻害要因×在院期間区分[#Headers],0)),0)+IFERROR(INDEX(阻害要因×在院期間区分[#All],MATCH($AI32,阻害要因×在院期間区分[[#All],[値]],0),MATCH($AO$4,阻害要因×在院期間区分[#Headers],0)),0)+IFERROR(INDEX(阻害要因×在院期間区分[#All],MATCH($AI32,阻害要因×在院期間区分[[#All],[値]],0),MATCH($AP$4,阻害要因×在院期間区分[#Headers],0)),0)+IFERROR(INDEX(阻害要因×在院期間区分[#All],MATCH($AI32,阻害要因×在院期間区分[[#All],[値]],0),MATCH($AQ$4,阻害要因×在院期間区分[#Headers],0)),0)+IFERROR(INDEX(阻害要因×在院期間区分[#All],MATCH($AI32,阻害要因×在院期間区分[[#All],[値]],0),MATCH($AR$4,阻害要因×在院期間区分[#Headers],0)),0)</f>
        <v>40</v>
      </c>
      <c r="F31" s="77">
        <f t="shared" si="2"/>
        <v>5.5710306406685235E-2</v>
      </c>
      <c r="G31" s="74">
        <f>IFERROR(INDEX(阻害要因×在院期間区分[#All],MATCH($AI32,阻害要因×在院期間区分[[#All],[値]],0),MATCH($AS$4,阻害要因×在院期間区分[#Headers],0)),0)+IFERROR(INDEX(阻害要因×在院期間区分[#All],MATCH($AI32,阻害要因×在院期間区分[[#All],[値]],0),MATCH($AT$4,阻害要因×在院期間区分[#Headers],0)),0)+IFERROR(INDEX(阻害要因×在院期間区分[#All],MATCH($AI32,阻害要因×在院期間区分[[#All],[値]],0),MATCH($AU$4,阻害要因×在院期間区分[#Headers],0)),0)+IFERROR(INDEX(阻害要因×在院期間区分[#All],MATCH($AI32,阻害要因×在院期間区分[[#All],[値]],0),MATCH($AV$4,阻害要因×在院期間区分[#Headers],0)),0)+IFERROR(INDEX(阻害要因×在院期間区分[#All],MATCH($AI32,阻害要因×在院期間区分[[#All],[値]],0),MATCH($AW$4,阻害要因×在院期間区分[#Headers],0)),0)</f>
        <v>17</v>
      </c>
      <c r="H31" s="77">
        <f t="shared" si="3"/>
        <v>5.8620689655172413E-2</v>
      </c>
      <c r="I31" s="74">
        <f>IFERROR(INDEX(阻害要因×在院期間区分[#All],MATCH($AI32,阻害要因×在院期間区分[[#All],[値]],0),MATCH($AX$4,阻害要因×在院期間区分[#Headers],0)),0)+IFERROR(INDEX(阻害要因×在院期間区分[#All],MATCH($AI32,阻害要因×在院期間区分[[#All],[値]],0),MATCH($AY$4,阻害要因×在院期間区分[#Headers],0)),0)</f>
        <v>7</v>
      </c>
      <c r="J31" s="77">
        <f t="shared" si="4"/>
        <v>1.9662921348314606E-2</v>
      </c>
      <c r="K31" s="39">
        <f t="shared" si="5"/>
        <v>111</v>
      </c>
      <c r="L31" s="56" t="s">
        <v>181</v>
      </c>
      <c r="M31" s="66">
        <v>9</v>
      </c>
      <c r="N31" s="66">
        <v>14</v>
      </c>
      <c r="O31" s="66">
        <v>11</v>
      </c>
      <c r="P31" s="66">
        <v>13</v>
      </c>
      <c r="Q31" s="66">
        <v>8</v>
      </c>
      <c r="R31" s="66">
        <v>4</v>
      </c>
      <c r="S31" s="66">
        <v>16</v>
      </c>
      <c r="T31" s="66">
        <v>8</v>
      </c>
      <c r="U31" s="66">
        <v>4</v>
      </c>
      <c r="V31" s="66">
        <v>7</v>
      </c>
      <c r="W31" s="66">
        <v>3</v>
      </c>
      <c r="X31" s="66">
        <v>1</v>
      </c>
      <c r="Y31" s="66">
        <v>4</v>
      </c>
      <c r="Z31" s="66">
        <v>2</v>
      </c>
      <c r="AA31" s="66">
        <v>4</v>
      </c>
      <c r="AB31" s="66">
        <v>3</v>
      </c>
      <c r="AI31" s="383" t="s">
        <v>180</v>
      </c>
    </row>
    <row r="32" spans="2:36" ht="18.75" customHeight="1" x14ac:dyDescent="0.15">
      <c r="D32" s="20"/>
      <c r="E32" s="39"/>
      <c r="J32" s="20"/>
      <c r="K32" s="39"/>
      <c r="AI32" s="383" t="s">
        <v>181</v>
      </c>
    </row>
    <row r="33" spans="2:35" ht="18.75" customHeight="1" x14ac:dyDescent="0.15">
      <c r="B33" s="2" t="s">
        <v>79</v>
      </c>
      <c r="E33" s="122"/>
      <c r="K33" s="39"/>
    </row>
    <row r="34" spans="2:35" ht="18.75" customHeight="1" thickBot="1" x14ac:dyDescent="0.2">
      <c r="B34" s="675" t="s">
        <v>240</v>
      </c>
      <c r="C34" s="695" t="s">
        <v>64</v>
      </c>
      <c r="D34" s="696"/>
      <c r="E34" s="696"/>
      <c r="F34" s="696"/>
      <c r="G34" s="696"/>
      <c r="H34" s="696"/>
      <c r="I34" s="696"/>
      <c r="J34" s="697"/>
      <c r="K34" s="39"/>
      <c r="L34" s="53" t="s">
        <v>63</v>
      </c>
    </row>
    <row r="35" spans="2:35" ht="18.75" customHeight="1" thickTop="1" thickBot="1" x14ac:dyDescent="0.2">
      <c r="B35" s="694"/>
      <c r="C35" s="698" t="s">
        <v>69</v>
      </c>
      <c r="D35" s="699"/>
      <c r="E35" s="700" t="s">
        <v>270</v>
      </c>
      <c r="F35" s="701"/>
      <c r="G35" s="700" t="s">
        <v>271</v>
      </c>
      <c r="H35" s="701"/>
      <c r="I35" s="698" t="s">
        <v>72</v>
      </c>
      <c r="J35" s="699"/>
      <c r="K35" s="39"/>
      <c r="L35" s="502" t="s">
        <v>370</v>
      </c>
      <c r="M35" s="56" t="s">
        <v>182</v>
      </c>
      <c r="N35" s="56" t="s">
        <v>183</v>
      </c>
      <c r="O35" s="56" t="s">
        <v>184</v>
      </c>
      <c r="P35" s="56" t="s">
        <v>185</v>
      </c>
      <c r="Q35" s="56" t="s">
        <v>186</v>
      </c>
      <c r="R35" s="56" t="s">
        <v>187</v>
      </c>
      <c r="S35" s="56" t="s">
        <v>188</v>
      </c>
      <c r="T35" s="56" t="s">
        <v>189</v>
      </c>
      <c r="U35" s="56" t="s">
        <v>190</v>
      </c>
      <c r="V35" s="56" t="s">
        <v>191</v>
      </c>
      <c r="W35" s="56" t="s">
        <v>192</v>
      </c>
      <c r="X35" s="56" t="s">
        <v>193</v>
      </c>
      <c r="Y35" s="56" t="s">
        <v>194</v>
      </c>
      <c r="Z35" s="56" t="s">
        <v>195</v>
      </c>
      <c r="AA35" s="56" t="s">
        <v>196</v>
      </c>
      <c r="AB35" s="56" t="s">
        <v>197</v>
      </c>
    </row>
    <row r="36" spans="2:35" ht="37.5" customHeight="1" thickTop="1" x14ac:dyDescent="0.15">
      <c r="B36" s="88" t="s">
        <v>231</v>
      </c>
      <c r="C36" s="89">
        <f>IFERROR(INDEX(退院予定有無×在院期間区分＿寛解・院内寛解[#All],MATCH($AI37,退院予定有無×在院期間区分＿寛解・院内寛解[[#All],[行ラベル]],0),MATCH($AJ$4,退院予定有無×在院期間区分＿寛解・院内寛解[#Headers],0)),0)+IFERROR(INDEX(退院予定有無×在院期間区分＿寛解・院内寛解[#All],MATCH($AI37,退院予定有無×在院期間区分＿寛解・院内寛解[[#All],[行ラベル]],0),MATCH($AK$4,退院予定有無×在院期間区分＿寛解・院内寛解[#Headers],0)),0)+IFERROR(INDEX(退院予定有無×在院期間区分＿寛解・院内寛解[#All],MATCH($AI37,退院予定有無×在院期間区分＿寛解・院内寛解[[#All],[行ラベル]],0),MATCH($AL$4,退院予定有無×在院期間区分＿寛解・院内寛解[#Headers],0)),0)+IFERROR(INDEX(退院予定有無×在院期間区分＿寛解・院内寛解[#All],MATCH($AI37,退院予定有無×在院期間区分＿寛解・院内寛解[[#All],[行ラベル]],0),MATCH($AM$4,退院予定有無×在院期間区分＿寛解・院内寛解[#Headers],0)),0)</f>
        <v>310</v>
      </c>
      <c r="D36" s="90">
        <f>IFERROR(C36/C$39,"-")</f>
        <v>0.25556471558120364</v>
      </c>
      <c r="E36" s="89">
        <f>IFERROR(INDEX(退院予定有無×在院期間区分＿寛解・院内寛解[#All],MATCH($AI37,退院予定有無×在院期間区分＿寛解・院内寛解[[#All],[行ラベル]],0),MATCH($AN$4,退院予定有無×在院期間区分＿寛解・院内寛解[#Headers],0)),0)+IFERROR(INDEX(退院予定有無×在院期間区分＿寛解・院内寛解[#All],MATCH($AI37,退院予定有無×在院期間区分＿寛解・院内寛解[[#All],[行ラベル]],0),MATCH($AO$4,退院予定有無×在院期間区分＿寛解・院内寛解[#Headers],0)),0)+IFERROR(INDEX(退院予定有無×在院期間区分＿寛解・院内寛解[#All],MATCH($AI37,退院予定有無×在院期間区分＿寛解・院内寛解[[#All],[行ラベル]],0),MATCH($AP$4,退院予定有無×在院期間区分＿寛解・院内寛解[#Headers],0)),0)+IFERROR(INDEX(退院予定有無×在院期間区分＿寛解・院内寛解[#All],MATCH($AI37,退院予定有無×在院期間区分＿寛解・院内寛解[[#All],[行ラベル]],0),MATCH($AQ$4,退院予定有無×在院期間区分＿寛解・院内寛解[#Headers],0)),0)+IFERROR(INDEX(退院予定有無×在院期間区分＿寛解・院内寛解[#All],MATCH($AI37,退院予定有無×在院期間区分＿寛解・院内寛解[[#All],[行ラベル]],0),MATCH($AR$4,退院予定有無×在院期間区分＿寛解・院内寛解[#Headers],0)),0)</f>
        <v>208</v>
      </c>
      <c r="F36" s="90">
        <f>IFERROR(E36/E$39,"-")</f>
        <v>0.6135693215339233</v>
      </c>
      <c r="G36" s="89">
        <f>IFERROR(INDEX(退院予定有無×在院期間区分＿寛解・院内寛解[#All],MATCH($AI37,退院予定有無×在院期間区分＿寛解・院内寛解[[#All],[行ラベル]],0),MATCH($AS$4,退院予定有無×在院期間区分＿寛解・院内寛解[#Headers],0)),0)+IFERROR(INDEX(退院予定有無×在院期間区分＿寛解・院内寛解[#All],MATCH($AI37,退院予定有無×在院期間区分＿寛解・院内寛解[[#All],[行ラベル]],0),MATCH($AT$4,退院予定有無×在院期間区分＿寛解・院内寛解[#Headers],0)),0)+IFERROR(INDEX(退院予定有無×在院期間区分＿寛解・院内寛解[#All],MATCH($AI37,退院予定有無×在院期間区分＿寛解・院内寛解[[#All],[行ラベル]],0),MATCH($AU$4,退院予定有無×在院期間区分＿寛解・院内寛解[#Headers],0)),0)+IFERROR(INDEX(退院予定有無×在院期間区分＿寛解・院内寛解[#All],MATCH($AI37,退院予定有無×在院期間区分＿寛解・院内寛解[[#All],[行ラベル]],0),MATCH($AV$4,退院予定有無×在院期間区分＿寛解・院内寛解[#Headers],0)),0)+IFERROR(INDEX(退院予定有無×在院期間区分＿寛解・院内寛解[#All],MATCH($AI37,退院予定有無×在院期間区分＿寛解・院内寛解[[#All],[行ラベル]],0),MATCH($AW$4,退院予定有無×在院期間区分＿寛解・院内寛解[#Headers],0)),0)</f>
        <v>83</v>
      </c>
      <c r="H36" s="90">
        <f>IFERROR(G36/G$39,"-")</f>
        <v>0.7410714285714286</v>
      </c>
      <c r="I36" s="89">
        <f>IFERROR(INDEX(退院予定有無×在院期間区分＿寛解・院内寛解[#All],MATCH($AI37,退院予定有無×在院期間区分＿寛解・院内寛解[[#All],[行ラベル]],0),MATCH($AX$4,退院予定有無×在院期間区分＿寛解・院内寛解[#Headers],0)),0)+IFERROR(INDEX(退院予定有無×在院期間区分＿寛解・院内寛解[#All],MATCH($AI37,退院予定有無×在院期間区分＿寛解・院内寛解[[#All],[行ラベル]],0),MATCH($AY$4,退院予定有無×在院期間区分＿寛解・院内寛解[#Headers],0)),0)</f>
        <v>78</v>
      </c>
      <c r="J36" s="90">
        <f>IFERROR(I36/I$39,"-")</f>
        <v>0.76470588235294112</v>
      </c>
      <c r="K36" s="39">
        <f>SUM(C36,E36,G36,I36)</f>
        <v>679</v>
      </c>
      <c r="L36" s="34">
        <v>98</v>
      </c>
      <c r="M36" s="60">
        <v>50</v>
      </c>
      <c r="N36" s="60">
        <v>57</v>
      </c>
      <c r="O36" s="60">
        <v>18</v>
      </c>
      <c r="P36" s="60">
        <v>17</v>
      </c>
      <c r="Q36" s="60">
        <v>10</v>
      </c>
      <c r="R36" s="60">
        <v>10</v>
      </c>
      <c r="S36" s="60">
        <v>17</v>
      </c>
      <c r="T36" s="60">
        <v>14</v>
      </c>
      <c r="U36" s="60">
        <v>8</v>
      </c>
      <c r="V36" s="60">
        <v>4</v>
      </c>
      <c r="W36" s="60">
        <v>4</v>
      </c>
      <c r="X36" s="60">
        <v>4</v>
      </c>
      <c r="Y36" s="60">
        <v>2</v>
      </c>
      <c r="Z36" s="60">
        <v>3</v>
      </c>
      <c r="AA36" s="60">
        <v>12</v>
      </c>
      <c r="AB36" s="60">
        <v>6</v>
      </c>
    </row>
    <row r="37" spans="2:35" ht="18.75" customHeight="1" x14ac:dyDescent="0.15">
      <c r="B37" s="91" t="s">
        <v>241</v>
      </c>
      <c r="C37" s="70">
        <f>IFERROR(INDEX(退院予定有無×在院期間区分＿寛解・院内寛解[#All],MATCH($AI38,退院予定有無×在院期間区分＿寛解・院内寛解[[#All],[行ラベル]],0),MATCH($AJ$4,退院予定有無×在院期間区分＿寛解・院内寛解[#Headers],0)),0)+IFERROR(INDEX(退院予定有無×在院期間区分＿寛解・院内寛解[#All],MATCH($AI38,退院予定有無×在院期間区分＿寛解・院内寛解[[#All],[行ラベル]],0),MATCH($AK$4,退院予定有無×在院期間区分＿寛解・院内寛解[#Headers],0)),0)+IFERROR(INDEX(退院予定有無×在院期間区分＿寛解・院内寛解[#All],MATCH($AI38,退院予定有無×在院期間区分＿寛解・院内寛解[[#All],[行ラベル]],0),MATCH($AL$4,退院予定有無×在院期間区分＿寛解・院内寛解[#Headers],0)),0)+IFERROR(INDEX(退院予定有無×在院期間区分＿寛解・院内寛解[#All],MATCH($AI38,退院予定有無×在院期間区分＿寛解・院内寛解[[#All],[行ラベル]],0),MATCH($AM$4,退院予定有無×在院期間区分＿寛解・院内寛解[#Headers],0)),0)</f>
        <v>142</v>
      </c>
      <c r="D37" s="69">
        <f>IFERROR(C37/C$39,"-")</f>
        <v>0.11706512778235779</v>
      </c>
      <c r="E37" s="70">
        <f>IFERROR(INDEX(退院予定有無×在院期間区分＿寛解・院内寛解[#All],MATCH($AI38,退院予定有無×在院期間区分＿寛解・院内寛解[[#All],[行ラベル]],0),MATCH($AN$4,退院予定有無×在院期間区分＿寛解・院内寛解[#Headers],0)),0)+IFERROR(INDEX(退院予定有無×在院期間区分＿寛解・院内寛解[#All],MATCH($AI38,退院予定有無×在院期間区分＿寛解・院内寛解[[#All],[行ラベル]],0),MATCH($AO$4,退院予定有無×在院期間区分＿寛解・院内寛解[#Headers],0)),0)+IFERROR(INDEX(退院予定有無×在院期間区分＿寛解・院内寛解[#All],MATCH($AI38,退院予定有無×在院期間区分＿寛解・院内寛解[[#All],[行ラベル]],0),MATCH($AP$4,退院予定有無×在院期間区分＿寛解・院内寛解[#Headers],0)),0)+IFERROR(INDEX(退院予定有無×在院期間区分＿寛解・院内寛解[#All],MATCH($AI38,退院予定有無×在院期間区分＿寛解・院内寛解[[#All],[行ラベル]],0),MATCH($AQ$4,退院予定有無×在院期間区分＿寛解・院内寛解[#Headers],0)),0)+IFERROR(INDEX(退院予定有無×在院期間区分＿寛解・院内寛解[#All],MATCH($AI38,退院予定有無×在院期間区分＿寛解・院内寛解[[#All],[行ラベル]],0),MATCH($AR$4,退院予定有無×在院期間区分＿寛解・院内寛解[#Headers],0)),0)</f>
        <v>59</v>
      </c>
      <c r="F37" s="69">
        <f>IFERROR(E37/E$39,"-")</f>
        <v>0.17404129793510326</v>
      </c>
      <c r="G37" s="70">
        <f>IFERROR(INDEX(退院予定有無×在院期間区分＿寛解・院内寛解[#All],MATCH($AI38,退院予定有無×在院期間区分＿寛解・院内寛解[[#All],[行ラベル]],0),MATCH($AS$4,退院予定有無×在院期間区分＿寛解・院内寛解[#Headers],0)),0)+IFERROR(INDEX(退院予定有無×在院期間区分＿寛解・院内寛解[#All],MATCH($AI38,退院予定有無×在院期間区分＿寛解・院内寛解[[#All],[行ラベル]],0),MATCH($AT$4,退院予定有無×在院期間区分＿寛解・院内寛解[#Headers],0)),0)+IFERROR(INDEX(退院予定有無×在院期間区分＿寛解・院内寛解[#All],MATCH($AI38,退院予定有無×在院期間区分＿寛解・院内寛解[[#All],[行ラベル]],0),MATCH($AU$4,退院予定有無×在院期間区分＿寛解・院内寛解[#Headers],0)),0)+IFERROR(INDEX(退院予定有無×在院期間区分＿寛解・院内寛解[#All],MATCH($AI38,退院予定有無×在院期間区分＿寛解・院内寛解[[#All],[行ラベル]],0),MATCH($AV$4,退院予定有無×在院期間区分＿寛解・院内寛解[#Headers],0)),0)+IFERROR(INDEX(退院予定有無×在院期間区分＿寛解・院内寛解[#All],MATCH($AI38,退院予定有無×在院期間区分＿寛解・院内寛解[[#All],[行ラベル]],0),MATCH($AW$4,退院予定有無×在院期間区分＿寛解・院内寛解[#Headers],0)),0)</f>
        <v>17</v>
      </c>
      <c r="H37" s="69">
        <f>IFERROR(G37/G$39,"-")</f>
        <v>0.15178571428571427</v>
      </c>
      <c r="I37" s="70">
        <f>IFERROR(INDEX(退院予定有無×在院期間区分＿寛解・院内寛解[#All],MATCH($AI38,退院予定有無×在院期間区分＿寛解・院内寛解[[#All],[行ラベル]],0),MATCH($AX$4,退院予定有無×在院期間区分＿寛解・院内寛解[#Headers],0)),0)+IFERROR(INDEX(退院予定有無×在院期間区分＿寛解・院内寛解[#All],MATCH($AI38,退院予定有無×在院期間区分＿寛解・院内寛解[[#All],[行ラベル]],0),MATCH($AY$4,退院予定有無×在院期間区分＿寛解・院内寛解[#Headers],0)),0)</f>
        <v>18</v>
      </c>
      <c r="J37" s="69">
        <f>IFERROR(I37/I$39,"-")</f>
        <v>0.17647058823529413</v>
      </c>
      <c r="K37" s="39">
        <f>SUM(C37,E37,G37,I37)</f>
        <v>236</v>
      </c>
      <c r="L37" s="34">
        <v>97</v>
      </c>
      <c r="M37" s="60">
        <v>83</v>
      </c>
      <c r="N37" s="60">
        <v>82</v>
      </c>
      <c r="O37" s="60">
        <v>77</v>
      </c>
      <c r="P37" s="60">
        <v>68</v>
      </c>
      <c r="Q37" s="60">
        <v>46</v>
      </c>
      <c r="R37" s="60">
        <v>42</v>
      </c>
      <c r="S37" s="60">
        <v>63</v>
      </c>
      <c r="T37" s="60">
        <v>37</v>
      </c>
      <c r="U37" s="60">
        <v>20</v>
      </c>
      <c r="V37" s="60">
        <v>19</v>
      </c>
      <c r="W37" s="60">
        <v>22</v>
      </c>
      <c r="X37" s="60">
        <v>11</v>
      </c>
      <c r="Y37" s="60">
        <v>12</v>
      </c>
      <c r="Z37" s="60">
        <v>19</v>
      </c>
      <c r="AA37" s="60">
        <v>52</v>
      </c>
      <c r="AB37" s="60">
        <v>26</v>
      </c>
      <c r="AI37" s="410">
        <v>97</v>
      </c>
    </row>
    <row r="38" spans="2:35" ht="18.75" customHeight="1" x14ac:dyDescent="0.15">
      <c r="B38" s="123" t="s">
        <v>36</v>
      </c>
      <c r="C38" s="124">
        <f>IFERROR(INDEX(退院予定有無×在院期間区分＿寛解・院内寛解[#All],MATCH($AI39,退院予定有無×在院期間区分＿寛解・院内寛解[[#All],[行ラベル]],0),MATCH($AJ$4,退院予定有無×在院期間区分＿寛解・院内寛解[#Headers],0)),0)+IFERROR(INDEX(退院予定有無×在院期間区分＿寛解・院内寛解[#All],MATCH($AI39,退院予定有無×在院期間区分＿寛解・院内寛解[[#All],[行ラベル]],0),MATCH($AK$4,退院予定有無×在院期間区分＿寛解・院内寛解[#Headers],0)),0)+IFERROR(INDEX(退院予定有無×在院期間区分＿寛解・院内寛解[#All],MATCH($AI39,退院予定有無×在院期間区分＿寛解・院内寛解[[#All],[行ラベル]],0),MATCH($AL$4,退院予定有無×在院期間区分＿寛解・院内寛解[#Headers],0)),0)+IFERROR(INDEX(退院予定有無×在院期間区分＿寛解・院内寛解[#All],MATCH($AI39,退院予定有無×在院期間区分＿寛解・院内寛解[[#All],[行ラベル]],0),MATCH($AM$4,退院予定有無×在院期間区分＿寛解・院内寛解[#Headers],0)),0)</f>
        <v>761</v>
      </c>
      <c r="D38" s="125">
        <f>IFERROR(C38/C$39,"-")</f>
        <v>0.62737015663643858</v>
      </c>
      <c r="E38" s="124">
        <f>IFERROR(INDEX(退院予定有無×在院期間区分＿寛解・院内寛解[#All],MATCH($AI39,退院予定有無×在院期間区分＿寛解・院内寛解[[#All],[行ラベル]],0),MATCH($AN$4,退院予定有無×在院期間区分＿寛解・院内寛解[#Headers],0)),0)+IFERROR(INDEX(退院予定有無×在院期間区分＿寛解・院内寛解[#All],MATCH($AI39,退院予定有無×在院期間区分＿寛解・院内寛解[[#All],[行ラベル]],0),MATCH($AO$4,退院予定有無×在院期間区分＿寛解・院内寛解[#Headers],0)),0)+IFERROR(INDEX(退院予定有無×在院期間区分＿寛解・院内寛解[#All],MATCH($AI39,退院予定有無×在院期間区分＿寛解・院内寛解[[#All],[行ラベル]],0),MATCH($AP$4,退院予定有無×在院期間区分＿寛解・院内寛解[#Headers],0)),0)+IFERROR(INDEX(退院予定有無×在院期間区分＿寛解・院内寛解[#All],MATCH($AI39,退院予定有無×在院期間区分＿寛解・院内寛解[[#All],[行ラベル]],0),MATCH($AQ$4,退院予定有無×在院期間区分＿寛解・院内寛解[#Headers],0)),0)+IFERROR(INDEX(退院予定有無×在院期間区分＿寛解・院内寛解[#All],MATCH($AI39,退院予定有無×在院期間区分＿寛解・院内寛解[[#All],[行ラベル]],0),MATCH($AR$4,退院予定有無×在院期間区分＿寛解・院内寛解[#Headers],0)),0)</f>
        <v>72</v>
      </c>
      <c r="F38" s="125">
        <f>IFERROR(E38/E$39,"-")</f>
        <v>0.21238938053097345</v>
      </c>
      <c r="G38" s="124">
        <f>IFERROR(INDEX(退院予定有無×在院期間区分＿寛解・院内寛解[#All],MATCH($AI39,退院予定有無×在院期間区分＿寛解・院内寛解[[#All],[行ラベル]],0),MATCH($AS$4,退院予定有無×在院期間区分＿寛解・院内寛解[#Headers],0)),0)+IFERROR(INDEX(退院予定有無×在院期間区分＿寛解・院内寛解[#All],MATCH($AI39,退院予定有無×在院期間区分＿寛解・院内寛解[[#All],[行ラベル]],0),MATCH($AT$4,退院予定有無×在院期間区分＿寛解・院内寛解[#Headers],0)),0)+IFERROR(INDEX(退院予定有無×在院期間区分＿寛解・院内寛解[#All],MATCH($AI39,退院予定有無×在院期間区分＿寛解・院内寛解[[#All],[行ラベル]],0),MATCH($AU$4,退院予定有無×在院期間区分＿寛解・院内寛解[#Headers],0)),0)+IFERROR(INDEX(退院予定有無×在院期間区分＿寛解・院内寛解[#All],MATCH($AI39,退院予定有無×在院期間区分＿寛解・院内寛解[[#All],[行ラベル]],0),MATCH($AV$4,退院予定有無×在院期間区分＿寛解・院内寛解[#Headers],0)),0)+IFERROR(INDEX(退院予定有無×在院期間区分＿寛解・院内寛解[#All],MATCH($AI39,退院予定有無×在院期間区分＿寛解・院内寛解[[#All],[行ラベル]],0),MATCH($AW$4,退院予定有無×在院期間区分＿寛解・院内寛解[#Headers],0)),0)</f>
        <v>12</v>
      </c>
      <c r="H38" s="125">
        <f>IFERROR(G38/G$39,"-")</f>
        <v>0.10714285714285714</v>
      </c>
      <c r="I38" s="124">
        <f>IFERROR(INDEX(退院予定有無×在院期間区分＿寛解・院内寛解[#All],MATCH($AI39,退院予定有無×在院期間区分＿寛解・院内寛解[[#All],[行ラベル]],0),MATCH($AX$4,退院予定有無×在院期間区分＿寛解・院内寛解[#Headers],0)),0)+IFERROR(INDEX(退院予定有無×在院期間区分＿寛解・院内寛解[#All],MATCH($AI39,退院予定有無×在院期間区分＿寛解・院内寛解[[#All],[行ラベル]],0),MATCH($AY$4,退院予定有無×在院期間区分＿寛解・院内寛解[#Headers],0)),0)</f>
        <v>6</v>
      </c>
      <c r="J38" s="125">
        <f>IFERROR(I38/I$39,"-")</f>
        <v>5.8823529411764705E-2</v>
      </c>
      <c r="K38" s="39">
        <f>SUM(C38,E38,G38,I38)</f>
        <v>851</v>
      </c>
      <c r="L38" s="34">
        <v>99</v>
      </c>
      <c r="M38" s="60">
        <v>253</v>
      </c>
      <c r="N38" s="60">
        <v>340</v>
      </c>
      <c r="O38" s="60">
        <v>106</v>
      </c>
      <c r="P38" s="60">
        <v>62</v>
      </c>
      <c r="Q38" s="60">
        <v>22</v>
      </c>
      <c r="R38" s="60">
        <v>15</v>
      </c>
      <c r="S38" s="60">
        <v>22</v>
      </c>
      <c r="T38" s="60">
        <v>9</v>
      </c>
      <c r="U38" s="60">
        <v>4</v>
      </c>
      <c r="V38" s="60"/>
      <c r="W38" s="60">
        <v>3</v>
      </c>
      <c r="X38" s="60">
        <v>5</v>
      </c>
      <c r="Y38" s="60">
        <v>2</v>
      </c>
      <c r="Z38" s="60">
        <v>2</v>
      </c>
      <c r="AA38" s="60">
        <v>6</v>
      </c>
      <c r="AB38" s="60"/>
      <c r="AI38" s="411">
        <v>98</v>
      </c>
    </row>
    <row r="39" spans="2:35" ht="18.75" customHeight="1" x14ac:dyDescent="0.15">
      <c r="B39" s="93" t="s">
        <v>161</v>
      </c>
      <c r="C39" s="94">
        <f t="shared" ref="C39:J39" si="6">SUM(C36:C38)</f>
        <v>1213</v>
      </c>
      <c r="D39" s="95">
        <f t="shared" si="6"/>
        <v>1</v>
      </c>
      <c r="E39" s="96">
        <f t="shared" si="6"/>
        <v>339</v>
      </c>
      <c r="F39" s="95">
        <f t="shared" si="6"/>
        <v>1</v>
      </c>
      <c r="G39" s="116">
        <f t="shared" si="6"/>
        <v>112</v>
      </c>
      <c r="H39" s="117">
        <f t="shared" si="6"/>
        <v>1</v>
      </c>
      <c r="I39" s="116">
        <f t="shared" si="6"/>
        <v>102</v>
      </c>
      <c r="J39" s="117">
        <f t="shared" si="6"/>
        <v>1</v>
      </c>
      <c r="K39" s="39">
        <f>SUM(C39,E39,G39,I39)</f>
        <v>1766</v>
      </c>
      <c r="L39" s="34"/>
      <c r="M39" s="43"/>
      <c r="N39" s="43"/>
      <c r="O39" s="43"/>
      <c r="P39" s="43"/>
      <c r="Q39" s="43"/>
      <c r="R39" s="43"/>
      <c r="S39" s="43"/>
      <c r="T39" s="43"/>
      <c r="U39" s="43"/>
      <c r="V39" s="43"/>
      <c r="W39" s="43"/>
      <c r="X39" s="43"/>
      <c r="Y39" s="43"/>
      <c r="Z39" s="43"/>
      <c r="AA39" s="43"/>
      <c r="AB39" s="43"/>
      <c r="AI39" s="411">
        <v>99</v>
      </c>
    </row>
    <row r="40" spans="2:35" ht="18.75" customHeight="1" thickBot="1" x14ac:dyDescent="0.2">
      <c r="B40" s="97"/>
      <c r="C40" s="98"/>
      <c r="D40" s="99"/>
      <c r="E40" s="100"/>
      <c r="F40" s="99"/>
      <c r="G40" s="100"/>
      <c r="H40" s="99"/>
      <c r="I40" s="100"/>
      <c r="J40" s="99"/>
      <c r="K40" s="39"/>
      <c r="L40" s="34"/>
      <c r="M40" s="43"/>
      <c r="N40" s="43"/>
      <c r="O40" s="43"/>
      <c r="P40" s="43"/>
      <c r="Q40" s="43"/>
      <c r="R40" s="43"/>
      <c r="S40" s="43"/>
      <c r="T40" s="43"/>
      <c r="U40" s="43"/>
      <c r="V40" s="43"/>
      <c r="W40" s="43"/>
      <c r="X40" s="43"/>
      <c r="Y40" s="43"/>
      <c r="Z40" s="43"/>
      <c r="AA40" s="43"/>
      <c r="AB40" s="43"/>
      <c r="AI40" s="411"/>
    </row>
    <row r="41" spans="2:35" ht="18.75" customHeight="1" thickTop="1" thickBot="1" x14ac:dyDescent="0.2">
      <c r="B41" s="101" t="s">
        <v>242</v>
      </c>
      <c r="C41" s="688"/>
      <c r="D41" s="689"/>
      <c r="E41" s="689"/>
      <c r="F41" s="689"/>
      <c r="G41" s="689"/>
      <c r="H41" s="689"/>
      <c r="I41" s="689"/>
      <c r="J41" s="690"/>
      <c r="K41" s="39"/>
      <c r="L41" s="502" t="s">
        <v>370</v>
      </c>
      <c r="M41" s="56" t="s">
        <v>182</v>
      </c>
      <c r="N41" s="56" t="s">
        <v>183</v>
      </c>
      <c r="O41" s="56" t="s">
        <v>184</v>
      </c>
      <c r="P41" s="56" t="s">
        <v>185</v>
      </c>
      <c r="Q41" s="56" t="s">
        <v>186</v>
      </c>
      <c r="R41" s="56" t="s">
        <v>187</v>
      </c>
      <c r="S41" s="56" t="s">
        <v>188</v>
      </c>
      <c r="T41" s="56" t="s">
        <v>189</v>
      </c>
      <c r="U41" s="56" t="s">
        <v>190</v>
      </c>
      <c r="V41" s="56" t="s">
        <v>191</v>
      </c>
      <c r="W41" s="56" t="s">
        <v>192</v>
      </c>
      <c r="X41" s="56" t="s">
        <v>193</v>
      </c>
      <c r="Y41" s="56" t="s">
        <v>194</v>
      </c>
      <c r="Z41" s="56" t="s">
        <v>195</v>
      </c>
      <c r="AA41" s="56" t="s">
        <v>196</v>
      </c>
      <c r="AB41" s="56" t="s">
        <v>197</v>
      </c>
      <c r="AI41" s="411"/>
    </row>
    <row r="42" spans="2:35" ht="18.75" customHeight="1" thickTop="1" x14ac:dyDescent="0.15">
      <c r="B42" s="102" t="s">
        <v>34</v>
      </c>
      <c r="C42" s="89">
        <f>IFERROR(INDEX(阻害要因有無×在院期間区分＿寛解・院内寛解[#All],MATCH($AI43,阻害要因有無×在院期間区分＿寛解・院内寛解[[#All],[行ラベル]],0),MATCH($AJ$4,阻害要因有無×在院期間区分＿寛解・院内寛解[#Headers],0)),0)+IFERROR(INDEX(阻害要因有無×在院期間区分＿寛解・院内寛解[#All],MATCH($AI43,阻害要因有無×在院期間区分＿寛解・院内寛解[[#All],[行ラベル]],0),MATCH($AK$4,阻害要因有無×在院期間区分＿寛解・院内寛解[#Headers],0)),0)+IFERROR(INDEX(阻害要因有無×在院期間区分＿寛解・院内寛解[#All],MATCH($AI43,阻害要因有無×在院期間区分＿寛解・院内寛解[[#All],[行ラベル]],0),MATCH($AL$4,阻害要因有無×在院期間区分＿寛解・院内寛解[#Headers],0)),0)+IFERROR(INDEX(阻害要因有無×在院期間区分＿寛解・院内寛解[#All],MATCH($AI43,阻害要因有無×在院期間区分＿寛解・院内寛解[[#All],[行ラベル]],0),MATCH($AM$4,阻害要因有無×在院期間区分＿寛解・院内寛解[#Headers],0)),0)</f>
        <v>218</v>
      </c>
      <c r="D42" s="90">
        <f>IFERROR(C42/C$36,"-")</f>
        <v>0.70322580645161292</v>
      </c>
      <c r="E42" s="89">
        <f>IFERROR(INDEX(阻害要因有無×在院期間区分＿寛解・院内寛解[#All],MATCH($AI43,阻害要因有無×在院期間区分＿寛解・院内寛解[[#All],[行ラベル]],0),MATCH($AN$4,阻害要因有無×在院期間区分＿寛解・院内寛解[#Headers],0)),0)+IFERROR(INDEX(阻害要因有無×在院期間区分＿寛解・院内寛解[#All],MATCH($AI43,阻害要因有無×在院期間区分＿寛解・院内寛解[[#All],[行ラベル]],0),MATCH($AO$4,阻害要因有無×在院期間区分＿寛解・院内寛解[#Headers],0)),0)+IFERROR(INDEX(阻害要因有無×在院期間区分＿寛解・院内寛解[#All],MATCH($AI43,阻害要因有無×在院期間区分＿寛解・院内寛解[[#All],[行ラベル]],0),MATCH($AP$4,阻害要因有無×在院期間区分＿寛解・院内寛解[#Headers],0)),0)+IFERROR(INDEX(阻害要因有無×在院期間区分＿寛解・院内寛解[#All],MATCH($AI43,阻害要因有無×在院期間区分＿寛解・院内寛解[[#All],[行ラベル]],0),MATCH($AQ$4,阻害要因有無×在院期間区分＿寛解・院内寛解[#Headers],0)),0)+IFERROR(INDEX(阻害要因有無×在院期間区分＿寛解・院内寛解[#All],MATCH($AI43,阻害要因有無×在院期間区分＿寛解・院内寛解[[#All],[行ラベル]],0),MATCH($AR$4,阻害要因有無×在院期間区分＿寛解・院内寛解[#Headers],0)),0)</f>
        <v>200</v>
      </c>
      <c r="F42" s="90">
        <f>IFERROR(E42/E$36,"-")</f>
        <v>0.96153846153846156</v>
      </c>
      <c r="G42" s="89">
        <f>IFERROR(INDEX(阻害要因有無×在院期間区分＿寛解・院内寛解[#All],MATCH($AI43,阻害要因有無×在院期間区分＿寛解・院内寛解[[#All],[行ラベル]],0),MATCH($AS$4,阻害要因有無×在院期間区分＿寛解・院内寛解[#Headers],0)),0)+IFERROR(INDEX(阻害要因有無×在院期間区分＿寛解・院内寛解[#All],MATCH($AI43,阻害要因有無×在院期間区分＿寛解・院内寛解[[#All],[行ラベル]],0),MATCH($AT$4,阻害要因有無×在院期間区分＿寛解・院内寛解[#Headers],0)),0)+IFERROR(INDEX(阻害要因有無×在院期間区分＿寛解・院内寛解[#All],MATCH($AI43,阻害要因有無×在院期間区分＿寛解・院内寛解[[#All],[行ラベル]],0),MATCH($AU$4,阻害要因有無×在院期間区分＿寛解・院内寛解[#Headers],0)),0)+IFERROR(INDEX(阻害要因有無×在院期間区分＿寛解・院内寛解[#All],MATCH($AI43,阻害要因有無×在院期間区分＿寛解・院内寛解[[#All],[行ラベル]],0),MATCH($AV$4,阻害要因有無×在院期間区分＿寛解・院内寛解[#Headers],0)),0)+IFERROR(INDEX(阻害要因有無×在院期間区分＿寛解・院内寛解[#All],MATCH($AI43,阻害要因有無×在院期間区分＿寛解・院内寛解[[#All],[行ラベル]],0),MATCH($AW$4,阻害要因有無×在院期間区分＿寛解・院内寛解[#Headers],0)),0)</f>
        <v>78</v>
      </c>
      <c r="H42" s="90">
        <f>IFERROR(G42/G$36,"-")</f>
        <v>0.93975903614457834</v>
      </c>
      <c r="I42" s="89">
        <f>IFERROR(INDEX(阻害要因有無×在院期間区分＿寛解・院内寛解[#All],MATCH($AI43,阻害要因有無×在院期間区分＿寛解・院内寛解[[#All],[行ラベル]],0),MATCH($AX$4,阻害要因有無×在院期間区分＿寛解・院内寛解[#Headers],0)),0)+IFERROR(INDEX(阻害要因有無×在院期間区分＿寛解・院内寛解[#All],MATCH($AI43,阻害要因有無×在院期間区分＿寛解・院内寛解[[#All],[行ラベル]],0),MATCH($AY$4,阻害要因有無×在院期間区分＿寛解・院内寛解[#Headers],0)),0)</f>
        <v>77</v>
      </c>
      <c r="J42" s="90">
        <f>IFERROR(I42/I$36,"-")</f>
        <v>0.98717948717948723</v>
      </c>
      <c r="K42" s="39">
        <f>SUM(C42,E42,G42,I42)</f>
        <v>573</v>
      </c>
      <c r="L42" s="34">
        <v>91</v>
      </c>
      <c r="M42" s="60">
        <v>43</v>
      </c>
      <c r="N42" s="60">
        <v>50</v>
      </c>
      <c r="O42" s="60">
        <v>64</v>
      </c>
      <c r="P42" s="60">
        <v>61</v>
      </c>
      <c r="Q42" s="60">
        <v>43</v>
      </c>
      <c r="R42" s="60">
        <v>40</v>
      </c>
      <c r="S42" s="60">
        <v>62</v>
      </c>
      <c r="T42" s="60">
        <v>35</v>
      </c>
      <c r="U42" s="60">
        <v>20</v>
      </c>
      <c r="V42" s="60">
        <v>17</v>
      </c>
      <c r="W42" s="60">
        <v>20</v>
      </c>
      <c r="X42" s="60">
        <v>10</v>
      </c>
      <c r="Y42" s="60">
        <v>12</v>
      </c>
      <c r="Z42" s="60">
        <v>19</v>
      </c>
      <c r="AA42" s="60">
        <v>52</v>
      </c>
      <c r="AB42" s="60">
        <v>25</v>
      </c>
      <c r="AI42" s="411"/>
    </row>
    <row r="43" spans="2:35" ht="18.75" customHeight="1" x14ac:dyDescent="0.15">
      <c r="B43" s="92" t="s">
        <v>35</v>
      </c>
      <c r="C43" s="70">
        <f>IFERROR(INDEX(阻害要因有無×在院期間区分＿寛解・院内寛解[#All],MATCH($AI44,阻害要因有無×在院期間区分＿寛解・院内寛解[[#All],[行ラベル]],0),MATCH($AJ$4,阻害要因有無×在院期間区分＿寛解・院内寛解[#Headers],0)),0)+IFERROR(INDEX(阻害要因有無×在院期間区分＿寛解・院内寛解[#All],MATCH($AI44,阻害要因有無×在院期間区分＿寛解・院内寛解[[#All],[行ラベル]],0),MATCH($AK$4,阻害要因有無×在院期間区分＿寛解・院内寛解[#Headers],0)),0)+IFERROR(INDEX(阻害要因有無×在院期間区分＿寛解・院内寛解[#All],MATCH($AI44,阻害要因有無×在院期間区分＿寛解・院内寛解[[#All],[行ラベル]],0),MATCH($AL$4,阻害要因有無×在院期間区分＿寛解・院内寛解[#Headers],0)),0)+IFERROR(INDEX(阻害要因有無×在院期間区分＿寛解・院内寛解[#All],MATCH($AI44,阻害要因有無×在院期間区分＿寛解・院内寛解[[#All],[行ラベル]],0),MATCH($AM$4,阻害要因有無×在院期間区分＿寛解・院内寛解[#Headers],0)),0)</f>
        <v>92</v>
      </c>
      <c r="D43" s="69">
        <f>IFERROR(C43/C$36,"-")</f>
        <v>0.29677419354838708</v>
      </c>
      <c r="E43" s="70">
        <f>IFERROR(INDEX(阻害要因有無×在院期間区分＿寛解・院内寛解[#All],MATCH($AI44,阻害要因有無×在院期間区分＿寛解・院内寛解[[#All],[行ラベル]],0),MATCH($AN$4,阻害要因有無×在院期間区分＿寛解・院内寛解[#Headers],0)),0)+IFERROR(INDEX(阻害要因有無×在院期間区分＿寛解・院内寛解[#All],MATCH($AI44,阻害要因有無×在院期間区分＿寛解・院内寛解[[#All],[行ラベル]],0),MATCH($AO$4,阻害要因有無×在院期間区分＿寛解・院内寛解[#Headers],0)),0)+IFERROR(INDEX(阻害要因有無×在院期間区分＿寛解・院内寛解[#All],MATCH($AI44,阻害要因有無×在院期間区分＿寛解・院内寛解[[#All],[行ラベル]],0),MATCH($AP$4,阻害要因有無×在院期間区分＿寛解・院内寛解[#Headers],0)),0)+IFERROR(INDEX(阻害要因有無×在院期間区分＿寛解・院内寛解[#All],MATCH($AI44,阻害要因有無×在院期間区分＿寛解・院内寛解[[#All],[行ラベル]],0),MATCH($AQ$4,阻害要因有無×在院期間区分＿寛解・院内寛解[#Headers],0)),0)+IFERROR(INDEX(阻害要因有無×在院期間区分＿寛解・院内寛解[#All],MATCH($AI44,阻害要因有無×在院期間区分＿寛解・院内寛解[[#All],[行ラベル]],0),MATCH($AR$4,阻害要因有無×在院期間区分＿寛解・院内寛解[#Headers],0)),0)</f>
        <v>8</v>
      </c>
      <c r="F43" s="69">
        <f>IFERROR(E43/E$36,"-")</f>
        <v>3.8461538461538464E-2</v>
      </c>
      <c r="G43" s="70">
        <f>IFERROR(INDEX(阻害要因有無×在院期間区分＿寛解・院内寛解[#All],MATCH($AI44,阻害要因有無×在院期間区分＿寛解・院内寛解[[#All],[行ラベル]],0),MATCH($AS$4,阻害要因有無×在院期間区分＿寛解・院内寛解[#Headers],0)),0)+IFERROR(INDEX(阻害要因有無×在院期間区分＿寛解・院内寛解[#All],MATCH($AI44,阻害要因有無×在院期間区分＿寛解・院内寛解[[#All],[行ラベル]],0),MATCH($AT$4,阻害要因有無×在院期間区分＿寛解・院内寛解[#Headers],0)),0)+IFERROR(INDEX(阻害要因有無×在院期間区分＿寛解・院内寛解[#All],MATCH($AI44,阻害要因有無×在院期間区分＿寛解・院内寛解[[#All],[行ラベル]],0),MATCH($AU$4,阻害要因有無×在院期間区分＿寛解・院内寛解[#Headers],0)),0)+IFERROR(INDEX(阻害要因有無×在院期間区分＿寛解・院内寛解[#All],MATCH($AI44,阻害要因有無×在院期間区分＿寛解・院内寛解[[#All],[行ラベル]],0),MATCH($AV$4,阻害要因有無×在院期間区分＿寛解・院内寛解[#Headers],0)),0)+IFERROR(INDEX(阻害要因有無×在院期間区分＿寛解・院内寛解[#All],MATCH($AI44,阻害要因有無×在院期間区分＿寛解・院内寛解[[#All],[行ラベル]],0),MATCH($AW$4,阻害要因有無×在院期間区分＿寛解・院内寛解[#Headers],0)),0)</f>
        <v>5</v>
      </c>
      <c r="H43" s="69">
        <f>IFERROR(G43/G$36,"-")</f>
        <v>6.0240963855421686E-2</v>
      </c>
      <c r="I43" s="70">
        <f>IFERROR(INDEX(阻害要因有無×在院期間区分＿寛解・院内寛解[#All],MATCH($AI44,阻害要因有無×在院期間区分＿寛解・院内寛解[[#All],[行ラベル]],0),MATCH($AX$4,阻害要因有無×在院期間区分＿寛解・院内寛解[#Headers],0)),0)+IFERROR(INDEX(阻害要因有無×在院期間区分＿寛解・院内寛解[#All],MATCH($AI44,阻害要因有無×在院期間区分＿寛解・院内寛解[[#All],[行ラベル]],0),MATCH($AY$4,阻害要因有無×在院期間区分＿寛解・院内寛解[#Headers],0)),0)</f>
        <v>1</v>
      </c>
      <c r="J43" s="69">
        <f>IFERROR(I43/I$36,"-")</f>
        <v>1.282051282051282E-2</v>
      </c>
      <c r="K43" s="39">
        <f>SUM(C43,E43,G43,I43)</f>
        <v>106</v>
      </c>
      <c r="L43" s="34">
        <v>90</v>
      </c>
      <c r="M43" s="60">
        <v>40</v>
      </c>
      <c r="N43" s="60">
        <v>32</v>
      </c>
      <c r="O43" s="60">
        <v>13</v>
      </c>
      <c r="P43" s="60">
        <v>7</v>
      </c>
      <c r="Q43" s="60">
        <v>3</v>
      </c>
      <c r="R43" s="60">
        <v>2</v>
      </c>
      <c r="S43" s="60">
        <v>1</v>
      </c>
      <c r="T43" s="60">
        <v>2</v>
      </c>
      <c r="U43" s="60"/>
      <c r="V43" s="60">
        <v>2</v>
      </c>
      <c r="W43" s="60">
        <v>2</v>
      </c>
      <c r="X43" s="60">
        <v>1</v>
      </c>
      <c r="Y43" s="60"/>
      <c r="Z43" s="60"/>
      <c r="AA43" s="60"/>
      <c r="AB43" s="60">
        <v>1</v>
      </c>
      <c r="AI43" s="411">
        <v>91</v>
      </c>
    </row>
    <row r="44" spans="2:35" ht="18.75" customHeight="1" thickBot="1" x14ac:dyDescent="0.2">
      <c r="B44" s="103" t="s">
        <v>264</v>
      </c>
      <c r="C44" s="688"/>
      <c r="D44" s="689"/>
      <c r="E44" s="689"/>
      <c r="F44" s="689"/>
      <c r="G44" s="689"/>
      <c r="H44" s="689"/>
      <c r="I44" s="689"/>
      <c r="J44" s="690"/>
      <c r="K44" s="39"/>
      <c r="AI44" s="411">
        <v>90</v>
      </c>
    </row>
    <row r="45" spans="2:35" ht="19.5" customHeight="1" thickTop="1" thickBot="1" x14ac:dyDescent="0.2">
      <c r="B45" s="691" t="s">
        <v>274</v>
      </c>
      <c r="C45" s="692"/>
      <c r="D45" s="692"/>
      <c r="E45" s="692"/>
      <c r="F45" s="692"/>
      <c r="G45" s="692"/>
      <c r="H45" s="692"/>
      <c r="I45" s="692"/>
      <c r="J45" s="693"/>
      <c r="K45" s="39">
        <f>SUM(C46,E46,G46,I46)</f>
        <v>165</v>
      </c>
      <c r="L45" s="502" t="s">
        <v>585</v>
      </c>
      <c r="M45" s="56" t="s">
        <v>182</v>
      </c>
      <c r="N45" s="56" t="s">
        <v>183</v>
      </c>
      <c r="O45" s="56" t="s">
        <v>184</v>
      </c>
      <c r="P45" s="56" t="s">
        <v>185</v>
      </c>
      <c r="Q45" s="56" t="s">
        <v>186</v>
      </c>
      <c r="R45" s="56" t="s">
        <v>187</v>
      </c>
      <c r="S45" s="56" t="s">
        <v>188</v>
      </c>
      <c r="T45" s="56" t="s">
        <v>189</v>
      </c>
      <c r="U45" s="56" t="s">
        <v>190</v>
      </c>
      <c r="V45" s="56" t="s">
        <v>191</v>
      </c>
      <c r="W45" s="56" t="s">
        <v>192</v>
      </c>
      <c r="X45" s="56" t="s">
        <v>193</v>
      </c>
      <c r="Y45" s="56" t="s">
        <v>194</v>
      </c>
      <c r="Z45" s="56" t="s">
        <v>195</v>
      </c>
      <c r="AA45" s="56" t="s">
        <v>196</v>
      </c>
      <c r="AB45" s="56" t="s">
        <v>197</v>
      </c>
      <c r="AI45" s="411"/>
    </row>
    <row r="46" spans="2:35" ht="37.5" customHeight="1" thickTop="1" x14ac:dyDescent="0.15">
      <c r="B46" s="104" t="s">
        <v>235</v>
      </c>
      <c r="C46" s="65">
        <f>IFERROR(INDEX(阻害要因×在院期間区分＿寛解・院内寛解[#All],MATCH($AI47,阻害要因×在院期間区分＿寛解・院内寛解[[#All],[値]],0),MATCH($AJ$4,阻害要因×在院期間区分＿寛解・院内寛解[#Headers],0)),0)+IFERROR(INDEX(阻害要因×在院期間区分＿寛解・院内寛解[#All],MATCH($AI47,阻害要因×在院期間区分＿寛解・院内寛解[[#All],[値]],0),MATCH($AK$4,阻害要因×在院期間区分＿寛解・院内寛解[#Headers],0)),0)+IFERROR(INDEX(阻害要因×在院期間区分＿寛解・院内寛解[#All],MATCH($AI47,阻害要因×在院期間区分＿寛解・院内寛解[[#All],[値]],0),MATCH($AL$4,阻害要因×在院期間区分＿寛解・院内寛解[#Headers],0)),0)+IFERROR(INDEX(阻害要因×在院期間区分＿寛解・院内寛解[#All],MATCH($AI47,阻害要因×在院期間区分＿寛解・院内寛解[[#All],[値]],0),MATCH($AM$4,阻害要因×在院期間区分＿寛解・院内寛解[#Headers],0)),0)</f>
        <v>70</v>
      </c>
      <c r="D46" s="64">
        <f t="shared" ref="D46:D63" si="7">IFERROR(C46/C$42,"-")</f>
        <v>0.32110091743119268</v>
      </c>
      <c r="E46" s="65">
        <f>IFERROR(INDEX(阻害要因×在院期間区分＿寛解・院内寛解[#All],MATCH($AI47,阻害要因×在院期間区分＿寛解・院内寛解[[#All],[値]],0),MATCH($AN$4,阻害要因×在院期間区分＿寛解・院内寛解[#Headers],0)),0)+IFERROR(INDEX(阻害要因×在院期間区分＿寛解・院内寛解[#All],MATCH($AI47,阻害要因×在院期間区分＿寛解・院内寛解[[#All],[値]],0),MATCH($AO$4,阻害要因×在院期間区分＿寛解・院内寛解[#Headers],0)),0)+IFERROR(INDEX(阻害要因×在院期間区分＿寛解・院内寛解[#All],MATCH($AI47,阻害要因×在院期間区分＿寛解・院内寛解[[#All],[値]],0),MATCH($AP$4,阻害要因×在院期間区分＿寛解・院内寛解[#Headers],0)),0)+IFERROR(INDEX(阻害要因×在院期間区分＿寛解・院内寛解[#All],MATCH($AI47,阻害要因×在院期間区分＿寛解・院内寛解[[#All],[値]],0),MATCH($AQ$4,阻害要因×在院期間区分＿寛解・院内寛解[#Headers],0)),0)+IFERROR(INDEX(阻害要因×在院期間区分＿寛解・院内寛解[#All],MATCH($AI47,阻害要因×在院期間区分＿寛解・院内寛解[[#All],[値]],0),MATCH($AR$4,阻害要因×在院期間区分＿寛解・院内寛解[#Headers],0)),0)</f>
        <v>47</v>
      </c>
      <c r="F46" s="64">
        <f t="shared" ref="F46:F63" si="8">IFERROR(E46/E$42,"-")</f>
        <v>0.23499999999999999</v>
      </c>
      <c r="G46" s="65">
        <f>IFERROR(INDEX(阻害要因×在院期間区分＿寛解・院内寛解[#All],MATCH($AI47,阻害要因×在院期間区分＿寛解・院内寛解[[#All],[値]],0),MATCH($AS$4,阻害要因×在院期間区分＿寛解・院内寛解[#Headers],0)),0)+IFERROR(INDEX(阻害要因×在院期間区分＿寛解・院内寛解[#All],MATCH($AI47,阻害要因×在院期間区分＿寛解・院内寛解[[#All],[値]],0),MATCH($AT$4,阻害要因×在院期間区分＿寛解・院内寛解[#Headers],0)),0)+IFERROR(INDEX(阻害要因×在院期間区分＿寛解・院内寛解[#All],MATCH($AI47,阻害要因×在院期間区分＿寛解・院内寛解[[#All],[値]],0),MATCH($AU$4,阻害要因×在院期間区分＿寛解・院内寛解[#Headers],0)),0)+IFERROR(INDEX(阻害要因×在院期間区分＿寛解・院内寛解[#All],MATCH($AI47,阻害要因×在院期間区分＿寛解・院内寛解[[#All],[値]],0),MATCH($AV$4,阻害要因×在院期間区分＿寛解・院内寛解[#Headers],0)),0)+IFERROR(INDEX(阻害要因×在院期間区分＿寛解・院内寛解[#All],MATCH($AI47,阻害要因×在院期間区分＿寛解・院内寛解[[#All],[値]],0),MATCH($AW$4,阻害要因×在院期間区分＿寛解・院内寛解[#Headers],0)),0)</f>
        <v>29</v>
      </c>
      <c r="H46" s="64">
        <f t="shared" ref="H46:H63" si="9">IFERROR(G46/G$42,"-")</f>
        <v>0.37179487179487181</v>
      </c>
      <c r="I46" s="65">
        <f>IFERROR(INDEX(阻害要因×在院期間区分＿寛解・院内寛解[#All],MATCH($AI47,阻害要因×在院期間区分＿寛解・院内寛解[[#All],[値]],0),MATCH($AX$4,阻害要因×在院期間区分＿寛解・院内寛解[#Headers],0)),0)+IFERROR(INDEX(阻害要因×在院期間区分＿寛解・院内寛解[#All],MATCH($AI47,阻害要因×在院期間区分＿寛解・院内寛解[[#All],[値]],0),MATCH($AY$4,阻害要因×在院期間区分＿寛解・院内寛解[#Headers],0)),0)</f>
        <v>19</v>
      </c>
      <c r="J46" s="64">
        <f t="shared" ref="J46:J63" si="10">IFERROR(I46/I$42,"-")</f>
        <v>0.24675324675324675</v>
      </c>
      <c r="K46" s="39">
        <f>SUM(C47,E47,G47,I47)</f>
        <v>118</v>
      </c>
      <c r="L46" s="34" t="s">
        <v>309</v>
      </c>
      <c r="M46" s="66">
        <v>18</v>
      </c>
      <c r="N46" s="66">
        <v>18</v>
      </c>
      <c r="O46" s="66">
        <v>14</v>
      </c>
      <c r="P46" s="66">
        <v>20</v>
      </c>
      <c r="Q46" s="66">
        <v>9</v>
      </c>
      <c r="R46" s="66">
        <v>8</v>
      </c>
      <c r="S46" s="66">
        <v>17</v>
      </c>
      <c r="T46" s="66">
        <v>7</v>
      </c>
      <c r="U46" s="66">
        <v>6</v>
      </c>
      <c r="V46" s="66">
        <v>6</v>
      </c>
      <c r="W46" s="66">
        <v>7</v>
      </c>
      <c r="X46" s="66">
        <v>4</v>
      </c>
      <c r="Y46" s="66">
        <v>4</v>
      </c>
      <c r="Z46" s="66">
        <v>8</v>
      </c>
      <c r="AA46" s="66">
        <v>16</v>
      </c>
      <c r="AB46" s="66">
        <v>3</v>
      </c>
      <c r="AI46" s="411"/>
    </row>
    <row r="47" spans="2:35" ht="21" customHeight="1" x14ac:dyDescent="0.15">
      <c r="B47" s="105" t="s">
        <v>66</v>
      </c>
      <c r="C47" s="70">
        <f>IFERROR(INDEX(阻害要因×在院期間区分＿寛解・院内寛解[#All],MATCH($AI48,阻害要因×在院期間区分＿寛解・院内寛解[[#All],[値]],0),MATCH($AJ$4,阻害要因×在院期間区分＿寛解・院内寛解[#Headers],0)),0)+IFERROR(INDEX(阻害要因×在院期間区分＿寛解・院内寛解[#All],MATCH($AI48,阻害要因×在院期間区分＿寛解・院内寛解[[#All],[値]],0),MATCH($AK$4,阻害要因×在院期間区分＿寛解・院内寛解[#Headers],0)),0)+IFERROR(INDEX(阻害要因×在院期間区分＿寛解・院内寛解[#All],MATCH($AI48,阻害要因×在院期間区分＿寛解・院内寛解[[#All],[値]],0),MATCH($AL$4,阻害要因×在院期間区分＿寛解・院内寛解[#Headers],0)),0)+IFERROR(INDEX(阻害要因×在院期間区分＿寛解・院内寛解[#All],MATCH($AI48,阻害要因×在院期間区分＿寛解・院内寛解[[#All],[値]],0),MATCH($AM$4,阻害要因×在院期間区分＿寛解・院内寛解[#Headers],0)),0)</f>
        <v>43</v>
      </c>
      <c r="D47" s="73">
        <f t="shared" si="7"/>
        <v>0.19724770642201836</v>
      </c>
      <c r="E47" s="70">
        <f>IFERROR(INDEX(阻害要因×在院期間区分＿寛解・院内寛解[#All],MATCH($AI48,阻害要因×在院期間区分＿寛解・院内寛解[[#All],[値]],0),MATCH($AN$4,阻害要因×在院期間区分＿寛解・院内寛解[#Headers],0)),0)+IFERROR(INDEX(阻害要因×在院期間区分＿寛解・院内寛解[#All],MATCH($AI48,阻害要因×在院期間区分＿寛解・院内寛解[[#All],[値]],0),MATCH($AO$4,阻害要因×在院期間区分＿寛解・院内寛解[#Headers],0)),0)+IFERROR(INDEX(阻害要因×在院期間区分＿寛解・院内寛解[#All],MATCH($AI48,阻害要因×在院期間区分＿寛解・院内寛解[[#All],[値]],0),MATCH($AP$4,阻害要因×在院期間区分＿寛解・院内寛解[#Headers],0)),0)+IFERROR(INDEX(阻害要因×在院期間区分＿寛解・院内寛解[#All],MATCH($AI48,阻害要因×在院期間区分＿寛解・院内寛解[[#All],[値]],0),MATCH($AQ$4,阻害要因×在院期間区分＿寛解・院内寛解[#Headers],0)),0)+IFERROR(INDEX(阻害要因×在院期間区分＿寛解・院内寛解[#All],MATCH($AI48,阻害要因×在院期間区分＿寛解・院内寛解[[#All],[値]],0),MATCH($AR$4,阻害要因×在院期間区分＿寛解・院内寛解[#Headers],0)),0)</f>
        <v>36</v>
      </c>
      <c r="F47" s="73">
        <f t="shared" si="8"/>
        <v>0.18</v>
      </c>
      <c r="G47" s="70">
        <f>IFERROR(INDEX(阻害要因×在院期間区分＿寛解・院内寛解[#All],MATCH($AI48,阻害要因×在院期間区分＿寛解・院内寛解[[#All],[値]],0),MATCH($AS$4,阻害要因×在院期間区分＿寛解・院内寛解[#Headers],0)),0)+IFERROR(INDEX(阻害要因×在院期間区分＿寛解・院内寛解[#All],MATCH($AI48,阻害要因×在院期間区分＿寛解・院内寛解[[#All],[値]],0),MATCH($AT$4,阻害要因×在院期間区分＿寛解・院内寛解[#Headers],0)),0)+IFERROR(INDEX(阻害要因×在院期間区分＿寛解・院内寛解[#All],MATCH($AI48,阻害要因×在院期間区分＿寛解・院内寛解[[#All],[値]],0),MATCH($AU$4,阻害要因×在院期間区分＿寛解・院内寛解[#Headers],0)),0)+IFERROR(INDEX(阻害要因×在院期間区分＿寛解・院内寛解[#All],MATCH($AI48,阻害要因×在院期間区分＿寛解・院内寛解[[#All],[値]],0),MATCH($AV$4,阻害要因×在院期間区分＿寛解・院内寛解[#Headers],0)),0)+IFERROR(INDEX(阻害要因×在院期間区分＿寛解・院内寛解[#All],MATCH($AI48,阻害要因×在院期間区分＿寛解・院内寛解[[#All],[値]],0),MATCH($AW$4,阻害要因×在院期間区分＿寛解・院内寛解[#Headers],0)),0)</f>
        <v>22</v>
      </c>
      <c r="H47" s="73">
        <f t="shared" si="9"/>
        <v>0.28205128205128205</v>
      </c>
      <c r="I47" s="70">
        <f>IFERROR(INDEX(阻害要因×在院期間区分＿寛解・院内寛解[#All],MATCH($AI48,阻害要因×在院期間区分＿寛解・院内寛解[[#All],[値]],0),MATCH($AX$4,阻害要因×在院期間区分＿寛解・院内寛解[#Headers],0)),0)+IFERROR(INDEX(阻害要因×在院期間区分＿寛解・院内寛解[#All],MATCH($AI48,阻害要因×在院期間区分＿寛解・院内寛解[[#All],[値]],0),MATCH($AY$4,阻害要因×在院期間区分＿寛解・院内寛解[#Headers],0)),0)</f>
        <v>17</v>
      </c>
      <c r="J47" s="73">
        <f t="shared" si="10"/>
        <v>0.22077922077922077</v>
      </c>
      <c r="K47" s="39">
        <f t="shared" ref="K47:K62" si="11">SUM(C48,E48,G48,I48)</f>
        <v>17</v>
      </c>
      <c r="L47" s="56" t="s">
        <v>310</v>
      </c>
      <c r="M47" s="66">
        <v>8</v>
      </c>
      <c r="N47" s="66">
        <v>10</v>
      </c>
      <c r="O47" s="66">
        <v>13</v>
      </c>
      <c r="P47" s="66">
        <v>12</v>
      </c>
      <c r="Q47" s="66">
        <v>5</v>
      </c>
      <c r="R47" s="66">
        <v>4</v>
      </c>
      <c r="S47" s="66">
        <v>17</v>
      </c>
      <c r="T47" s="66">
        <v>7</v>
      </c>
      <c r="U47" s="66">
        <v>3</v>
      </c>
      <c r="V47" s="66">
        <v>6</v>
      </c>
      <c r="W47" s="66">
        <v>4</v>
      </c>
      <c r="X47" s="66">
        <v>4</v>
      </c>
      <c r="Y47" s="66">
        <v>2</v>
      </c>
      <c r="Z47" s="66">
        <v>6</v>
      </c>
      <c r="AA47" s="66">
        <v>13</v>
      </c>
      <c r="AB47" s="66">
        <v>4</v>
      </c>
      <c r="AI47" s="411" t="s">
        <v>309</v>
      </c>
    </row>
    <row r="48" spans="2:35" ht="21" customHeight="1" x14ac:dyDescent="0.15">
      <c r="B48" s="105" t="s">
        <v>38</v>
      </c>
      <c r="C48" s="120">
        <f>IFERROR(INDEX(阻害要因×在院期間区分＿寛解・院内寛解[#All],MATCH($AI49,阻害要因×在院期間区分＿寛解・院内寛解[[#All],[値]],0),MATCH($AJ$4,阻害要因×在院期間区分＿寛解・院内寛解[#Headers],0)),0)+IFERROR(INDEX(阻害要因×在院期間区分＿寛解・院内寛解[#All],MATCH($AI49,阻害要因×在院期間区分＿寛解・院内寛解[[#All],[値]],0),MATCH($AK$4,阻害要因×在院期間区分＿寛解・院内寛解[#Headers],0)),0)+IFERROR(INDEX(阻害要因×在院期間区分＿寛解・院内寛解[#All],MATCH($AI49,阻害要因×在院期間区分＿寛解・院内寛解[[#All],[値]],0),MATCH($AL$4,阻害要因×在院期間区分＿寛解・院内寛解[#Headers],0)),0)+IFERROR(INDEX(阻害要因×在院期間区分＿寛解・院内寛解[#All],MATCH($AI49,阻害要因×在院期間区分＿寛解・院内寛解[[#All],[値]],0),MATCH($AM$4,阻害要因×在院期間区分＿寛解・院内寛解[#Headers],0)),0)</f>
        <v>4</v>
      </c>
      <c r="D48" s="73">
        <f t="shared" si="7"/>
        <v>1.834862385321101E-2</v>
      </c>
      <c r="E48" s="71">
        <f>IFERROR(INDEX(阻害要因×在院期間区分＿寛解・院内寛解[#All],MATCH($AI49,阻害要因×在院期間区分＿寛解・院内寛解[[#All],[値]],0),MATCH($AN$4,阻害要因×在院期間区分＿寛解・院内寛解[#Headers],0)),0)+IFERROR(INDEX(阻害要因×在院期間区分＿寛解・院内寛解[#All],MATCH($AI49,阻害要因×在院期間区分＿寛解・院内寛解[[#All],[値]],0),MATCH($AO$4,阻害要因×在院期間区分＿寛解・院内寛解[#Headers],0)),0)+IFERROR(INDEX(阻害要因×在院期間区分＿寛解・院内寛解[#All],MATCH($AI49,阻害要因×在院期間区分＿寛解・院内寛解[[#All],[値]],0),MATCH($AP$4,阻害要因×在院期間区分＿寛解・院内寛解[#Headers],0)),0)+IFERROR(INDEX(阻害要因×在院期間区分＿寛解・院内寛解[#All],MATCH($AI49,阻害要因×在院期間区分＿寛解・院内寛解[[#All],[値]],0),MATCH($AQ$4,阻害要因×在院期間区分＿寛解・院内寛解[#Headers],0)),0)+IFERROR(INDEX(阻害要因×在院期間区分＿寛解・院内寛解[#All],MATCH($AI49,阻害要因×在院期間区分＿寛解・院内寛解[[#All],[値]],0),MATCH($AR$4,阻害要因×在院期間区分＿寛解・院内寛解[#Headers],0)),0)</f>
        <v>7</v>
      </c>
      <c r="F48" s="73">
        <f t="shared" si="8"/>
        <v>3.5000000000000003E-2</v>
      </c>
      <c r="G48" s="71">
        <f>IFERROR(INDEX(阻害要因×在院期間区分＿寛解・院内寛解[#All],MATCH($AI49,阻害要因×在院期間区分＿寛解・院内寛解[[#All],[値]],0),MATCH($AS$4,阻害要因×在院期間区分＿寛解・院内寛解[#Headers],0)),0)+IFERROR(INDEX(阻害要因×在院期間区分＿寛解・院内寛解[#All],MATCH($AI49,阻害要因×在院期間区分＿寛解・院内寛解[[#All],[値]],0),MATCH($AT$4,阻害要因×在院期間区分＿寛解・院内寛解[#Headers],0)),0)+IFERROR(INDEX(阻害要因×在院期間区分＿寛解・院内寛解[#All],MATCH($AI49,阻害要因×在院期間区分＿寛解・院内寛解[[#All],[値]],0),MATCH($AU$4,阻害要因×在院期間区分＿寛解・院内寛解[#Headers],0)),0)+IFERROR(INDEX(阻害要因×在院期間区分＿寛解・院内寛解[#All],MATCH($AI49,阻害要因×在院期間区分＿寛解・院内寛解[[#All],[値]],0),MATCH($AV$4,阻害要因×在院期間区分＿寛解・院内寛解[#Headers],0)),0)+IFERROR(INDEX(阻害要因×在院期間区分＿寛解・院内寛解[#All],MATCH($AI49,阻害要因×在院期間区分＿寛解・院内寛解[[#All],[値]],0),MATCH($AW$4,阻害要因×在院期間区分＿寛解・院内寛解[#Headers],0)),0)</f>
        <v>4</v>
      </c>
      <c r="H48" s="73">
        <f t="shared" si="9"/>
        <v>5.128205128205128E-2</v>
      </c>
      <c r="I48" s="71">
        <f>IFERROR(INDEX(阻害要因×在院期間区分＿寛解・院内寛解[#All],MATCH($AI49,阻害要因×在院期間区分＿寛解・院内寛解[[#All],[値]],0),MATCH($AX$4,阻害要因×在院期間区分＿寛解・院内寛解[#Headers],0)),0)+IFERROR(INDEX(阻害要因×在院期間区分＿寛解・院内寛解[#All],MATCH($AI49,阻害要因×在院期間区分＿寛解・院内寛解[[#All],[値]],0),MATCH($AY$4,阻害要因×在院期間区分＿寛解・院内寛解[#Headers],0)),0)</f>
        <v>2</v>
      </c>
      <c r="J48" s="73">
        <f t="shared" si="10"/>
        <v>2.5974025974025976E-2</v>
      </c>
      <c r="K48" s="39">
        <f t="shared" si="11"/>
        <v>200</v>
      </c>
      <c r="L48" s="56" t="s">
        <v>166</v>
      </c>
      <c r="M48" s="66">
        <v>1</v>
      </c>
      <c r="N48" s="66">
        <v>1</v>
      </c>
      <c r="O48" s="66">
        <v>0</v>
      </c>
      <c r="P48" s="66">
        <v>2</v>
      </c>
      <c r="Q48" s="66">
        <v>1</v>
      </c>
      <c r="R48" s="66">
        <v>1</v>
      </c>
      <c r="S48" s="66">
        <v>4</v>
      </c>
      <c r="T48" s="66">
        <v>0</v>
      </c>
      <c r="U48" s="66">
        <v>1</v>
      </c>
      <c r="V48" s="66">
        <v>0</v>
      </c>
      <c r="W48" s="66">
        <v>1</v>
      </c>
      <c r="X48" s="66">
        <v>1</v>
      </c>
      <c r="Y48" s="66">
        <v>1</v>
      </c>
      <c r="Z48" s="66">
        <v>1</v>
      </c>
      <c r="AA48" s="66">
        <v>2</v>
      </c>
      <c r="AB48" s="66">
        <v>0</v>
      </c>
      <c r="AI48" s="411" t="s">
        <v>310</v>
      </c>
    </row>
    <row r="49" spans="2:35" ht="21" customHeight="1" x14ac:dyDescent="0.15">
      <c r="B49" s="105" t="s">
        <v>39</v>
      </c>
      <c r="C49" s="112">
        <f>IFERROR(INDEX(阻害要因×在院期間区分＿寛解・院内寛解[#All],MATCH($AI50,阻害要因×在院期間区分＿寛解・院内寛解[[#All],[値]],0),MATCH($AJ$4,阻害要因×在院期間区分＿寛解・院内寛解[#Headers],0)),0)+IFERROR(INDEX(阻害要因×在院期間区分＿寛解・院内寛解[#All],MATCH($AI50,阻害要因×在院期間区分＿寛解・院内寛解[[#All],[値]],0),MATCH($AK$4,阻害要因×在院期間区分＿寛解・院内寛解[#Headers],0)),0)+IFERROR(INDEX(阻害要因×在院期間区分＿寛解・院内寛解[#All],MATCH($AI50,阻害要因×在院期間区分＿寛解・院内寛解[[#All],[値]],0),MATCH($AL$4,阻害要因×在院期間区分＿寛解・院内寛解[#Headers],0)),0)+IFERROR(INDEX(阻害要因×在院期間区分＿寛解・院内寛解[#All],MATCH($AI50,阻害要因×在院期間区分＿寛解・院内寛解[[#All],[値]],0),MATCH($AM$4,阻害要因×在院期間区分＿寛解・院内寛解[#Headers],0)),0)</f>
        <v>47</v>
      </c>
      <c r="D49" s="73">
        <f t="shared" si="7"/>
        <v>0.21559633027522937</v>
      </c>
      <c r="E49" s="70">
        <f>IFERROR(INDEX(阻害要因×在院期間区分＿寛解・院内寛解[#All],MATCH($AI50,阻害要因×在院期間区分＿寛解・院内寛解[[#All],[値]],0),MATCH($AN$4,阻害要因×在院期間区分＿寛解・院内寛解[#Headers],0)),0)+IFERROR(INDEX(阻害要因×在院期間区分＿寛解・院内寛解[#All],MATCH($AI50,阻害要因×在院期間区分＿寛解・院内寛解[[#All],[値]],0),MATCH($AO$4,阻害要因×在院期間区分＿寛解・院内寛解[#Headers],0)),0)+IFERROR(INDEX(阻害要因×在院期間区分＿寛解・院内寛解[#All],MATCH($AI50,阻害要因×在院期間区分＿寛解・院内寛解[[#All],[値]],0),MATCH($AP$4,阻害要因×在院期間区分＿寛解・院内寛解[#Headers],0)),0)+IFERROR(INDEX(阻害要因×在院期間区分＿寛解・院内寛解[#All],MATCH($AI50,阻害要因×在院期間区分＿寛解・院内寛解[[#All],[値]],0),MATCH($AQ$4,阻害要因×在院期間区分＿寛解・院内寛解[#Headers],0)),0)+IFERROR(INDEX(阻害要因×在院期間区分＿寛解・院内寛解[#All],MATCH($AI50,阻害要因×在院期間区分＿寛解・院内寛解[[#All],[値]],0),MATCH($AR$4,阻害要因×在院期間区分＿寛解・院内寛解[#Headers],0)),0)</f>
        <v>76</v>
      </c>
      <c r="F49" s="73">
        <f t="shared" si="8"/>
        <v>0.38</v>
      </c>
      <c r="G49" s="70">
        <f>IFERROR(INDEX(阻害要因×在院期間区分＿寛解・院内寛解[#All],MATCH($AI50,阻害要因×在院期間区分＿寛解・院内寛解[[#All],[値]],0),MATCH($AS$4,阻害要因×在院期間区分＿寛解・院内寛解[#Headers],0)),0)+IFERROR(INDEX(阻害要因×在院期間区分＿寛解・院内寛解[#All],MATCH($AI50,阻害要因×在院期間区分＿寛解・院内寛解[[#All],[値]],0),MATCH($AT$4,阻害要因×在院期間区分＿寛解・院内寛解[#Headers],0)),0)+IFERROR(INDEX(阻害要因×在院期間区分＿寛解・院内寛解[#All],MATCH($AI50,阻害要因×在院期間区分＿寛解・院内寛解[[#All],[値]],0),MATCH($AU$4,阻害要因×在院期間区分＿寛解・院内寛解[#Headers],0)),0)+IFERROR(INDEX(阻害要因×在院期間区分＿寛解・院内寛解[#All],MATCH($AI50,阻害要因×在院期間区分＿寛解・院内寛解[[#All],[値]],0),MATCH($AV$4,阻害要因×在院期間区分＿寛解・院内寛解[#Headers],0)),0)+IFERROR(INDEX(阻害要因×在院期間区分＿寛解・院内寛解[#All],MATCH($AI50,阻害要因×在院期間区分＿寛解・院内寛解[[#All],[値]],0),MATCH($AW$4,阻害要因×在院期間区分＿寛解・院内寛解[#Headers],0)),0)</f>
        <v>34</v>
      </c>
      <c r="H49" s="73">
        <f t="shared" si="9"/>
        <v>0.4358974358974359</v>
      </c>
      <c r="I49" s="70">
        <f>IFERROR(INDEX(阻害要因×在院期間区分＿寛解・院内寛解[#All],MATCH($AI50,阻害要因×在院期間区分＿寛解・院内寛解[[#All],[値]],0),MATCH($AX$4,阻害要因×在院期間区分＿寛解・院内寛解[#Headers],0)),0)+IFERROR(INDEX(阻害要因×在院期間区分＿寛解・院内寛解[#All],MATCH($AI50,阻害要因×在院期間区分＿寛解・院内寛解[[#All],[値]],0),MATCH($AY$4,阻害要因×在院期間区分＿寛解・院内寛解[#Headers],0)),0)</f>
        <v>43</v>
      </c>
      <c r="J49" s="73">
        <f t="shared" si="10"/>
        <v>0.55844155844155841</v>
      </c>
      <c r="K49" s="39">
        <f t="shared" si="11"/>
        <v>140</v>
      </c>
      <c r="L49" s="56" t="s">
        <v>167</v>
      </c>
      <c r="M49" s="66">
        <v>3</v>
      </c>
      <c r="N49" s="66">
        <v>9</v>
      </c>
      <c r="O49" s="66">
        <v>21</v>
      </c>
      <c r="P49" s="66">
        <v>14</v>
      </c>
      <c r="Q49" s="66">
        <v>14</v>
      </c>
      <c r="R49" s="66">
        <v>14</v>
      </c>
      <c r="S49" s="66">
        <v>23</v>
      </c>
      <c r="T49" s="66">
        <v>14</v>
      </c>
      <c r="U49" s="66">
        <v>11</v>
      </c>
      <c r="V49" s="66">
        <v>5</v>
      </c>
      <c r="W49" s="66">
        <v>10</v>
      </c>
      <c r="X49" s="66">
        <v>4</v>
      </c>
      <c r="Y49" s="66">
        <v>6</v>
      </c>
      <c r="Z49" s="66">
        <v>9</v>
      </c>
      <c r="AA49" s="66">
        <v>26</v>
      </c>
      <c r="AB49" s="66">
        <v>17</v>
      </c>
      <c r="AI49" s="411" t="s">
        <v>166</v>
      </c>
    </row>
    <row r="50" spans="2:35" ht="21" customHeight="1" x14ac:dyDescent="0.15">
      <c r="B50" s="105" t="s">
        <v>40</v>
      </c>
      <c r="C50" s="126">
        <f>IFERROR(INDEX(阻害要因×在院期間区分＿寛解・院内寛解[#All],MATCH($AI51,阻害要因×在院期間区分＿寛解・院内寛解[[#All],[値]],0),MATCH($AJ$4,阻害要因×在院期間区分＿寛解・院内寛解[#Headers],0)),0)+IFERROR(INDEX(阻害要因×在院期間区分＿寛解・院内寛解[#All],MATCH($AI51,阻害要因×在院期間区分＿寛解・院内寛解[[#All],[値]],0),MATCH($AK$4,阻害要因×在院期間区分＿寛解・院内寛解[#Headers],0)),0)+IFERROR(INDEX(阻害要因×在院期間区分＿寛解・院内寛解[#All],MATCH($AI51,阻害要因×在院期間区分＿寛解・院内寛解[[#All],[値]],0),MATCH($AL$4,阻害要因×在院期間区分＿寛解・院内寛解[#Headers],0)),0)+IFERROR(INDEX(阻害要因×在院期間区分＿寛解・院内寛解[#All],MATCH($AI51,阻害要因×在院期間区分＿寛解・院内寛解[[#All],[値]],0),MATCH($AM$4,阻害要因×在院期間区分＿寛解・院内寛解[#Headers],0)),0)</f>
        <v>50</v>
      </c>
      <c r="D50" s="73">
        <f t="shared" si="7"/>
        <v>0.22935779816513763</v>
      </c>
      <c r="E50" s="70">
        <f>IFERROR(INDEX(阻害要因×在院期間区分＿寛解・院内寛解[#All],MATCH($AI51,阻害要因×在院期間区分＿寛解・院内寛解[[#All],[値]],0),MATCH($AN$4,阻害要因×在院期間区分＿寛解・院内寛解[#Headers],0)),0)+IFERROR(INDEX(阻害要因×在院期間区分＿寛解・院内寛解[#All],MATCH($AI51,阻害要因×在院期間区分＿寛解・院内寛解[[#All],[値]],0),MATCH($AO$4,阻害要因×在院期間区分＿寛解・院内寛解[#Headers],0)),0)+IFERROR(INDEX(阻害要因×在院期間区分＿寛解・院内寛解[#All],MATCH($AI51,阻害要因×在院期間区分＿寛解・院内寛解[[#All],[値]],0),MATCH($AP$4,阻害要因×在院期間区分＿寛解・院内寛解[#Headers],0)),0)+IFERROR(INDEX(阻害要因×在院期間区分＿寛解・院内寛解[#All],MATCH($AI51,阻害要因×在院期間区分＿寛解・院内寛解[[#All],[値]],0),MATCH($AQ$4,阻害要因×在院期間区分＿寛解・院内寛解[#Headers],0)),0)+IFERROR(INDEX(阻害要因×在院期間区分＿寛解・院内寛解[#All],MATCH($AI51,阻害要因×在院期間区分＿寛解・院内寛解[[#All],[値]],0),MATCH($AR$4,阻害要因×在院期間区分＿寛解・院内寛解[#Headers],0)),0)</f>
        <v>46</v>
      </c>
      <c r="F50" s="73">
        <f t="shared" si="8"/>
        <v>0.23</v>
      </c>
      <c r="G50" s="70">
        <f>IFERROR(INDEX(阻害要因×在院期間区分＿寛解・院内寛解[#All],MATCH($AI51,阻害要因×在院期間区分＿寛解・院内寛解[[#All],[値]],0),MATCH($AS$4,阻害要因×在院期間区分＿寛解・院内寛解[#Headers],0)),0)+IFERROR(INDEX(阻害要因×在院期間区分＿寛解・院内寛解[#All],MATCH($AI51,阻害要因×在院期間区分＿寛解・院内寛解[[#All],[値]],0),MATCH($AT$4,阻害要因×在院期間区分＿寛解・院内寛解[#Headers],0)),0)+IFERROR(INDEX(阻害要因×在院期間区分＿寛解・院内寛解[#All],MATCH($AI51,阻害要因×在院期間区分＿寛解・院内寛解[[#All],[値]],0),MATCH($AU$4,阻害要因×在院期間区分＿寛解・院内寛解[#Headers],0)),0)+IFERROR(INDEX(阻害要因×在院期間区分＿寛解・院内寛解[#All],MATCH($AI51,阻害要因×在院期間区分＿寛解・院内寛解[[#All],[値]],0),MATCH($AV$4,阻害要因×在院期間区分＿寛解・院内寛解[#Headers],0)),0)+IFERROR(INDEX(阻害要因×在院期間区分＿寛解・院内寛解[#All],MATCH($AI51,阻害要因×在院期間区分＿寛解・院内寛解[[#All],[値]],0),MATCH($AW$4,阻害要因×在院期間区分＿寛解・院内寛解[#Headers],0)),0)</f>
        <v>20</v>
      </c>
      <c r="H50" s="73">
        <f t="shared" si="9"/>
        <v>0.25641025641025639</v>
      </c>
      <c r="I50" s="70">
        <f>IFERROR(INDEX(阻害要因×在院期間区分＿寛解・院内寛解[#All],MATCH($AI51,阻害要因×在院期間区分＿寛解・院内寛解[[#All],[値]],0),MATCH($AX$4,阻害要因×在院期間区分＿寛解・院内寛解[#Headers],0)),0)+IFERROR(INDEX(阻害要因×在院期間区分＿寛解・院内寛解[#All],MATCH($AI51,阻害要因×在院期間区分＿寛解・院内寛解[[#All],[値]],0),MATCH($AY$4,阻害要因×在院期間区分＿寛解・院内寛解[#Headers],0)),0)</f>
        <v>24</v>
      </c>
      <c r="J50" s="73">
        <f t="shared" si="10"/>
        <v>0.31168831168831168</v>
      </c>
      <c r="K50" s="39">
        <f t="shared" si="11"/>
        <v>165</v>
      </c>
      <c r="L50" s="56" t="s">
        <v>168</v>
      </c>
      <c r="M50" s="66">
        <v>9</v>
      </c>
      <c r="N50" s="66">
        <v>12</v>
      </c>
      <c r="O50" s="66">
        <v>14</v>
      </c>
      <c r="P50" s="66">
        <v>15</v>
      </c>
      <c r="Q50" s="66">
        <v>6</v>
      </c>
      <c r="R50" s="66">
        <v>11</v>
      </c>
      <c r="S50" s="66">
        <v>17</v>
      </c>
      <c r="T50" s="66">
        <v>8</v>
      </c>
      <c r="U50" s="66">
        <v>4</v>
      </c>
      <c r="V50" s="66">
        <v>3</v>
      </c>
      <c r="W50" s="66">
        <v>4</v>
      </c>
      <c r="X50" s="66">
        <v>4</v>
      </c>
      <c r="Y50" s="66">
        <v>3</v>
      </c>
      <c r="Z50" s="66">
        <v>6</v>
      </c>
      <c r="AA50" s="66">
        <v>14</v>
      </c>
      <c r="AB50" s="66">
        <v>10</v>
      </c>
      <c r="AI50" s="411" t="s">
        <v>167</v>
      </c>
    </row>
    <row r="51" spans="2:35" ht="21" customHeight="1" x14ac:dyDescent="0.15">
      <c r="B51" s="105" t="s">
        <v>41</v>
      </c>
      <c r="C51" s="127">
        <f>IFERROR(INDEX(阻害要因×在院期間区分＿寛解・院内寛解[#All],MATCH($AI52,阻害要因×在院期間区分＿寛解・院内寛解[[#All],[値]],0),MATCH($AJ$4,阻害要因×在院期間区分＿寛解・院内寛解[#Headers],0)),0)+IFERROR(INDEX(阻害要因×在院期間区分＿寛解・院内寛解[#All],MATCH($AI52,阻害要因×在院期間区分＿寛解・院内寛解[[#All],[値]],0),MATCH($AK$4,阻害要因×在院期間区分＿寛解・院内寛解[#Headers],0)),0)+IFERROR(INDEX(阻害要因×在院期間区分＿寛解・院内寛解[#All],MATCH($AI52,阻害要因×在院期間区分＿寛解・院内寛解[[#All],[値]],0),MATCH($AL$4,阻害要因×在院期間区分＿寛解・院内寛解[#Headers],0)),0)+IFERROR(INDEX(阻害要因×在院期間区分＿寛解・院内寛解[#All],MATCH($AI52,阻害要因×在院期間区分＿寛解・院内寛解[[#All],[値]],0),MATCH($AM$4,阻害要因×在院期間区分＿寛解・院内寛解[#Headers],0)),0)</f>
        <v>56</v>
      </c>
      <c r="D51" s="73">
        <f t="shared" si="7"/>
        <v>0.25688073394495414</v>
      </c>
      <c r="E51" s="70">
        <f>IFERROR(INDEX(阻害要因×在院期間区分＿寛解・院内寛解[#All],MATCH($AI52,阻害要因×在院期間区分＿寛解・院内寛解[[#All],[値]],0),MATCH($AN$4,阻害要因×在院期間区分＿寛解・院内寛解[#Headers],0)),0)+IFERROR(INDEX(阻害要因×在院期間区分＿寛解・院内寛解[#All],MATCH($AI52,阻害要因×在院期間区分＿寛解・院内寛解[[#All],[値]],0),MATCH($AO$4,阻害要因×在院期間区分＿寛解・院内寛解[#Headers],0)),0)+IFERROR(INDEX(阻害要因×在院期間区分＿寛解・院内寛解[#All],MATCH($AI52,阻害要因×在院期間区分＿寛解・院内寛解[[#All],[値]],0),MATCH($AP$4,阻害要因×在院期間区分＿寛解・院内寛解[#Headers],0)),0)+IFERROR(INDEX(阻害要因×在院期間区分＿寛解・院内寛解[#All],MATCH($AI52,阻害要因×在院期間区分＿寛解・院内寛解[[#All],[値]],0),MATCH($AQ$4,阻害要因×在院期間区分＿寛解・院内寛解[#Headers],0)),0)+IFERROR(INDEX(阻害要因×在院期間区分＿寛解・院内寛解[#All],MATCH($AI52,阻害要因×在院期間区分＿寛解・院内寛解[[#All],[値]],0),MATCH($AR$4,阻害要因×在院期間区分＿寛解・院内寛解[#Headers],0)),0)</f>
        <v>57</v>
      </c>
      <c r="F51" s="73">
        <f t="shared" si="8"/>
        <v>0.28499999999999998</v>
      </c>
      <c r="G51" s="70">
        <f>IFERROR(INDEX(阻害要因×在院期間区分＿寛解・院内寛解[#All],MATCH($AI52,阻害要因×在院期間区分＿寛解・院内寛解[[#All],[値]],0),MATCH($AS$4,阻害要因×在院期間区分＿寛解・院内寛解[#Headers],0)),0)+IFERROR(INDEX(阻害要因×在院期間区分＿寛解・院内寛解[#All],MATCH($AI52,阻害要因×在院期間区分＿寛解・院内寛解[[#All],[値]],0),MATCH($AT$4,阻害要因×在院期間区分＿寛解・院内寛解[#Headers],0)),0)+IFERROR(INDEX(阻害要因×在院期間区分＿寛解・院内寛解[#All],MATCH($AI52,阻害要因×在院期間区分＿寛解・院内寛解[[#All],[値]],0),MATCH($AU$4,阻害要因×在院期間区分＿寛解・院内寛解[#Headers],0)),0)+IFERROR(INDEX(阻害要因×在院期間区分＿寛解・院内寛解[#All],MATCH($AI52,阻害要因×在院期間区分＿寛解・院内寛解[[#All],[値]],0),MATCH($AV$4,阻害要因×在院期間区分＿寛解・院内寛解[#Headers],0)),0)+IFERROR(INDEX(阻害要因×在院期間区分＿寛解・院内寛解[#All],MATCH($AI52,阻害要因×在院期間区分＿寛解・院内寛解[[#All],[値]],0),MATCH($AW$4,阻害要因×在院期間区分＿寛解・院内寛解[#Headers],0)),0)</f>
        <v>28</v>
      </c>
      <c r="H51" s="73">
        <f t="shared" si="9"/>
        <v>0.35897435897435898</v>
      </c>
      <c r="I51" s="70">
        <f>IFERROR(INDEX(阻害要因×在院期間区分＿寛解・院内寛解[#All],MATCH($AI52,阻害要因×在院期間区分＿寛解・院内寛解[[#All],[値]],0),MATCH($AX$4,阻害要因×在院期間区分＿寛解・院内寛解[#Headers],0)),0)+IFERROR(INDEX(阻害要因×在院期間区分＿寛解・院内寛解[#All],MATCH($AI52,阻害要因×在院期間区分＿寛解・院内寛解[[#All],[値]],0),MATCH($AY$4,阻害要因×在院期間区分＿寛解・院内寛解[#Headers],0)),0)</f>
        <v>24</v>
      </c>
      <c r="J51" s="73">
        <f t="shared" si="10"/>
        <v>0.31168831168831168</v>
      </c>
      <c r="K51" s="39">
        <f t="shared" si="11"/>
        <v>32</v>
      </c>
      <c r="L51" s="56" t="s">
        <v>169</v>
      </c>
      <c r="M51" s="66">
        <v>12</v>
      </c>
      <c r="N51" s="66">
        <v>12</v>
      </c>
      <c r="O51" s="66">
        <v>19</v>
      </c>
      <c r="P51" s="66">
        <v>13</v>
      </c>
      <c r="Q51" s="66">
        <v>9</v>
      </c>
      <c r="R51" s="66">
        <v>10</v>
      </c>
      <c r="S51" s="66">
        <v>18</v>
      </c>
      <c r="T51" s="66">
        <v>10</v>
      </c>
      <c r="U51" s="66">
        <v>10</v>
      </c>
      <c r="V51" s="66">
        <v>5</v>
      </c>
      <c r="W51" s="66">
        <v>6</v>
      </c>
      <c r="X51" s="66">
        <v>4</v>
      </c>
      <c r="Y51" s="66">
        <v>4</v>
      </c>
      <c r="Z51" s="66">
        <v>9</v>
      </c>
      <c r="AA51" s="66">
        <v>19</v>
      </c>
      <c r="AB51" s="66">
        <v>5</v>
      </c>
      <c r="AI51" s="411" t="s">
        <v>168</v>
      </c>
    </row>
    <row r="52" spans="2:35" ht="21" customHeight="1" x14ac:dyDescent="0.15">
      <c r="B52" s="105" t="s">
        <v>42</v>
      </c>
      <c r="C52" s="112">
        <f>IFERROR(INDEX(阻害要因×在院期間区分＿寛解・院内寛解[#All],MATCH($AI53,阻害要因×在院期間区分＿寛解・院内寛解[[#All],[値]],0),MATCH($AJ$4,阻害要因×在院期間区分＿寛解・院内寛解[#Headers],0)),0)+IFERROR(INDEX(阻害要因×在院期間区分＿寛解・院内寛解[#All],MATCH($AI53,阻害要因×在院期間区分＿寛解・院内寛解[[#All],[値]],0),MATCH($AK$4,阻害要因×在院期間区分＿寛解・院内寛解[#Headers],0)),0)+IFERROR(INDEX(阻害要因×在院期間区分＿寛解・院内寛解[#All],MATCH($AI53,阻害要因×在院期間区分＿寛解・院内寛解[[#All],[値]],0),MATCH($AL$4,阻害要因×在院期間区分＿寛解・院内寛解[#Headers],0)),0)+IFERROR(INDEX(阻害要因×在院期間区分＿寛解・院内寛解[#All],MATCH($AI53,阻害要因×在院期間区分＿寛解・院内寛解[[#All],[値]],0),MATCH($AM$4,阻害要因×在院期間区分＿寛解・院内寛解[#Headers],0)),0)</f>
        <v>14</v>
      </c>
      <c r="D52" s="73">
        <f t="shared" si="7"/>
        <v>6.4220183486238536E-2</v>
      </c>
      <c r="E52" s="72">
        <f>IFERROR(INDEX(阻害要因×在院期間区分＿寛解・院内寛解[#All],MATCH($AI53,阻害要因×在院期間区分＿寛解・院内寛解[[#All],[値]],0),MATCH($AN$4,阻害要因×在院期間区分＿寛解・院内寛解[#Headers],0)),0)+IFERROR(INDEX(阻害要因×在院期間区分＿寛解・院内寛解[#All],MATCH($AI53,阻害要因×在院期間区分＿寛解・院内寛解[[#All],[値]],0),MATCH($AO$4,阻害要因×在院期間区分＿寛解・院内寛解[#Headers],0)),0)+IFERROR(INDEX(阻害要因×在院期間区分＿寛解・院内寛解[#All],MATCH($AI53,阻害要因×在院期間区分＿寛解・院内寛解[[#All],[値]],0),MATCH($AP$4,阻害要因×在院期間区分＿寛解・院内寛解[#Headers],0)),0)+IFERROR(INDEX(阻害要因×在院期間区分＿寛解・院内寛解[#All],MATCH($AI53,阻害要因×在院期間区分＿寛解・院内寛解[[#All],[値]],0),MATCH($AQ$4,阻害要因×在院期間区分＿寛解・院内寛解[#Headers],0)),0)+IFERROR(INDEX(阻害要因×在院期間区分＿寛解・院内寛解[#All],MATCH($AI53,阻害要因×在院期間区分＿寛解・院内寛解[[#All],[値]],0),MATCH($AR$4,阻害要因×在院期間区分＿寛解・院内寛解[#Headers],0)),0)</f>
        <v>8</v>
      </c>
      <c r="F52" s="73">
        <f t="shared" si="8"/>
        <v>0.04</v>
      </c>
      <c r="G52" s="72">
        <f>IFERROR(INDEX(阻害要因×在院期間区分＿寛解・院内寛解[#All],MATCH($AI53,阻害要因×在院期間区分＿寛解・院内寛解[[#All],[値]],0),MATCH($AS$4,阻害要因×在院期間区分＿寛解・院内寛解[#Headers],0)),0)+IFERROR(INDEX(阻害要因×在院期間区分＿寛解・院内寛解[#All],MATCH($AI53,阻害要因×在院期間区分＿寛解・院内寛解[[#All],[値]],0),MATCH($AT$4,阻害要因×在院期間区分＿寛解・院内寛解[#Headers],0)),0)+IFERROR(INDEX(阻害要因×在院期間区分＿寛解・院内寛解[#All],MATCH($AI53,阻害要因×在院期間区分＿寛解・院内寛解[[#All],[値]],0),MATCH($AU$4,阻害要因×在院期間区分＿寛解・院内寛解[#Headers],0)),0)+IFERROR(INDEX(阻害要因×在院期間区分＿寛解・院内寛解[#All],MATCH($AI53,阻害要因×在院期間区分＿寛解・院内寛解[[#All],[値]],0),MATCH($AV$4,阻害要因×在院期間区分＿寛解・院内寛解[#Headers],0)),0)+IFERROR(INDEX(阻害要因×在院期間区分＿寛解・院内寛解[#All],MATCH($AI53,阻害要因×在院期間区分＿寛解・院内寛解[[#All],[値]],0),MATCH($AW$4,阻害要因×在院期間区分＿寛解・院内寛解[#Headers],0)),0)</f>
        <v>4</v>
      </c>
      <c r="H52" s="73">
        <f t="shared" si="9"/>
        <v>5.128205128205128E-2</v>
      </c>
      <c r="I52" s="72">
        <f>IFERROR(INDEX(阻害要因×在院期間区分＿寛解・院内寛解[#All],MATCH($AI53,阻害要因×在院期間区分＿寛解・院内寛解[[#All],[値]],0),MATCH($AX$4,阻害要因×在院期間区分＿寛解・院内寛解[#Headers],0)),0)+IFERROR(INDEX(阻害要因×在院期間区分＿寛解・院内寛解[#All],MATCH($AI53,阻害要因×在院期間区分＿寛解・院内寛解[[#All],[値]],0),MATCH($AY$4,阻害要因×在院期間区分＿寛解・院内寛解[#Headers],0)),0)</f>
        <v>6</v>
      </c>
      <c r="J52" s="73">
        <f t="shared" si="10"/>
        <v>7.792207792207792E-2</v>
      </c>
      <c r="K52" s="39">
        <f t="shared" si="11"/>
        <v>118</v>
      </c>
      <c r="L52" s="56" t="s">
        <v>170</v>
      </c>
      <c r="M52" s="66">
        <v>3</v>
      </c>
      <c r="N52" s="66">
        <v>0</v>
      </c>
      <c r="O52" s="66">
        <v>4</v>
      </c>
      <c r="P52" s="66">
        <v>7</v>
      </c>
      <c r="Q52" s="66">
        <v>2</v>
      </c>
      <c r="R52" s="66">
        <v>0</v>
      </c>
      <c r="S52" s="66">
        <v>5</v>
      </c>
      <c r="T52" s="66">
        <v>0</v>
      </c>
      <c r="U52" s="66">
        <v>1</v>
      </c>
      <c r="V52" s="66">
        <v>1</v>
      </c>
      <c r="W52" s="66">
        <v>1</v>
      </c>
      <c r="X52" s="66">
        <v>0</v>
      </c>
      <c r="Y52" s="66">
        <v>2</v>
      </c>
      <c r="Z52" s="66">
        <v>0</v>
      </c>
      <c r="AA52" s="66">
        <v>4</v>
      </c>
      <c r="AB52" s="66">
        <v>2</v>
      </c>
      <c r="AI52" s="411" t="s">
        <v>169</v>
      </c>
    </row>
    <row r="53" spans="2:35" ht="21" customHeight="1" x14ac:dyDescent="0.15">
      <c r="B53" s="105" t="s">
        <v>43</v>
      </c>
      <c r="C53" s="120">
        <f>IFERROR(INDEX(阻害要因×在院期間区分＿寛解・院内寛解[#All],MATCH($AI54,阻害要因×在院期間区分＿寛解・院内寛解[[#All],[値]],0),MATCH($AJ$4,阻害要因×在院期間区分＿寛解・院内寛解[#Headers],0)),0)+IFERROR(INDEX(阻害要因×在院期間区分＿寛解・院内寛解[#All],MATCH($AI54,阻害要因×在院期間区分＿寛解・院内寛解[[#All],[値]],0),MATCH($AK$4,阻害要因×在院期間区分＿寛解・院内寛解[#Headers],0)),0)+IFERROR(INDEX(阻害要因×在院期間区分＿寛解・院内寛解[#All],MATCH($AI54,阻害要因×在院期間区分＿寛解・院内寛解[[#All],[値]],0),MATCH($AL$4,阻害要因×在院期間区分＿寛解・院内寛解[#Headers],0)),0)+IFERROR(INDEX(阻害要因×在院期間区分＿寛解・院内寛解[#All],MATCH($AI54,阻害要因×在院期間区分＿寛解・院内寛解[[#All],[値]],0),MATCH($AM$4,阻害要因×在院期間区分＿寛解・院内寛解[#Headers],0)),0)</f>
        <v>40</v>
      </c>
      <c r="D53" s="73">
        <f t="shared" si="7"/>
        <v>0.1834862385321101</v>
      </c>
      <c r="E53" s="71">
        <f>IFERROR(INDEX(阻害要因×在院期間区分＿寛解・院内寛解[#All],MATCH($AI54,阻害要因×在院期間区分＿寛解・院内寛解[[#All],[値]],0),MATCH($AN$4,阻害要因×在院期間区分＿寛解・院内寛解[#Headers],0)),0)+IFERROR(INDEX(阻害要因×在院期間区分＿寛解・院内寛解[#All],MATCH($AI54,阻害要因×在院期間区分＿寛解・院内寛解[[#All],[値]],0),MATCH($AO$4,阻害要因×在院期間区分＿寛解・院内寛解[#Headers],0)),0)+IFERROR(INDEX(阻害要因×在院期間区分＿寛解・院内寛解[#All],MATCH($AI54,阻害要因×在院期間区分＿寛解・院内寛解[[#All],[値]],0),MATCH($AP$4,阻害要因×在院期間区分＿寛解・院内寛解[#Headers],0)),0)+IFERROR(INDEX(阻害要因×在院期間区分＿寛解・院内寛解[#All],MATCH($AI54,阻害要因×在院期間区分＿寛解・院内寛解[[#All],[値]],0),MATCH($AQ$4,阻害要因×在院期間区分＿寛解・院内寛解[#Headers],0)),0)+IFERROR(INDEX(阻害要因×在院期間区分＿寛解・院内寛解[#All],MATCH($AI54,阻害要因×在院期間区分＿寛解・院内寛解[[#All],[値]],0),MATCH($AR$4,阻害要因×在院期間区分＿寛解・院内寛解[#Headers],0)),0)</f>
        <v>44</v>
      </c>
      <c r="F53" s="73">
        <f t="shared" si="8"/>
        <v>0.22</v>
      </c>
      <c r="G53" s="71">
        <f>IFERROR(INDEX(阻害要因×在院期間区分＿寛解・院内寛解[#All],MATCH($AI54,阻害要因×在院期間区分＿寛解・院内寛解[[#All],[値]],0),MATCH($AS$4,阻害要因×在院期間区分＿寛解・院内寛解[#Headers],0)),0)+IFERROR(INDEX(阻害要因×在院期間区分＿寛解・院内寛解[#All],MATCH($AI54,阻害要因×在院期間区分＿寛解・院内寛解[[#All],[値]],0),MATCH($AT$4,阻害要因×在院期間区分＿寛解・院内寛解[#Headers],0)),0)+IFERROR(INDEX(阻害要因×在院期間区分＿寛解・院内寛解[#All],MATCH($AI54,阻害要因×在院期間区分＿寛解・院内寛解[[#All],[値]],0),MATCH($AU$4,阻害要因×在院期間区分＿寛解・院内寛解[#Headers],0)),0)+IFERROR(INDEX(阻害要因×在院期間区分＿寛解・院内寛解[#All],MATCH($AI54,阻害要因×在院期間区分＿寛解・院内寛解[[#All],[値]],0),MATCH($AV$4,阻害要因×在院期間区分＿寛解・院内寛解[#Headers],0)),0)+IFERROR(INDEX(阻害要因×在院期間区分＿寛解・院内寛解[#All],MATCH($AI54,阻害要因×在院期間区分＿寛解・院内寛解[[#All],[値]],0),MATCH($AW$4,阻害要因×在院期間区分＿寛解・院内寛解[#Headers],0)),0)</f>
        <v>16</v>
      </c>
      <c r="H53" s="73">
        <f t="shared" si="9"/>
        <v>0.20512820512820512</v>
      </c>
      <c r="I53" s="71">
        <f>IFERROR(INDEX(阻害要因×在院期間区分＿寛解・院内寛解[#All],MATCH($AI54,阻害要因×在院期間区分＿寛解・院内寛解[[#All],[値]],0),MATCH($AX$4,阻害要因×在院期間区分＿寛解・院内寛解[#Headers],0)),0)+IFERROR(INDEX(阻害要因×在院期間区分＿寛解・院内寛解[#All],MATCH($AI54,阻害要因×在院期間区分＿寛解・院内寛解[[#All],[値]],0),MATCH($AY$4,阻害要因×在院期間区分＿寛解・院内寛解[#Headers],0)),0)</f>
        <v>18</v>
      </c>
      <c r="J53" s="73">
        <f t="shared" si="10"/>
        <v>0.23376623376623376</v>
      </c>
      <c r="K53" s="39">
        <f t="shared" si="11"/>
        <v>95</v>
      </c>
      <c r="L53" s="56" t="s">
        <v>171</v>
      </c>
      <c r="M53" s="66">
        <v>7</v>
      </c>
      <c r="N53" s="66">
        <v>11</v>
      </c>
      <c r="O53" s="66">
        <v>10</v>
      </c>
      <c r="P53" s="66">
        <v>12</v>
      </c>
      <c r="Q53" s="66">
        <v>5</v>
      </c>
      <c r="R53" s="66">
        <v>8</v>
      </c>
      <c r="S53" s="66">
        <v>15</v>
      </c>
      <c r="T53" s="66">
        <v>10</v>
      </c>
      <c r="U53" s="66">
        <v>6</v>
      </c>
      <c r="V53" s="66">
        <v>2</v>
      </c>
      <c r="W53" s="66">
        <v>5</v>
      </c>
      <c r="X53" s="66">
        <v>4</v>
      </c>
      <c r="Y53" s="66">
        <v>3</v>
      </c>
      <c r="Z53" s="66">
        <v>2</v>
      </c>
      <c r="AA53" s="66">
        <v>14</v>
      </c>
      <c r="AB53" s="66">
        <v>4</v>
      </c>
      <c r="AI53" s="411" t="s">
        <v>170</v>
      </c>
    </row>
    <row r="54" spans="2:35" ht="21" customHeight="1" x14ac:dyDescent="0.15">
      <c r="B54" s="105" t="s">
        <v>44</v>
      </c>
      <c r="C54" s="114">
        <f>IFERROR(INDEX(阻害要因×在院期間区分＿寛解・院内寛解[#All],MATCH($AI55,阻害要因×在院期間区分＿寛解・院内寛解[[#All],[値]],0),MATCH($AJ$4,阻害要因×在院期間区分＿寛解・院内寛解[#Headers],0)),0)+IFERROR(INDEX(阻害要因×在院期間区分＿寛解・院内寛解[#All],MATCH($AI55,阻害要因×在院期間区分＿寛解・院内寛解[[#All],[値]],0),MATCH($AK$4,阻害要因×在院期間区分＿寛解・院内寛解[#Headers],0)),0)+IFERROR(INDEX(阻害要因×在院期間区分＿寛解・院内寛解[#All],MATCH($AI55,阻害要因×在院期間区分＿寛解・院内寛解[[#All],[値]],0),MATCH($AL$4,阻害要因×在院期間区分＿寛解・院内寛解[#Headers],0)),0)+IFERROR(INDEX(阻害要因×在院期間区分＿寛解・院内寛解[#All],MATCH($AI55,阻害要因×在院期間区分＿寛解・院内寛解[[#All],[値]],0),MATCH($AM$4,阻害要因×在院期間区分＿寛解・院内寛解[#Headers],0)),0)</f>
        <v>36</v>
      </c>
      <c r="D54" s="73">
        <f t="shared" si="7"/>
        <v>0.16513761467889909</v>
      </c>
      <c r="E54" s="68">
        <f>IFERROR(INDEX(阻害要因×在院期間区分＿寛解・院内寛解[#All],MATCH($AI55,阻害要因×在院期間区分＿寛解・院内寛解[[#All],[値]],0),MATCH($AN$4,阻害要因×在院期間区分＿寛解・院内寛解[#Headers],0)),0)+IFERROR(INDEX(阻害要因×在院期間区分＿寛解・院内寛解[#All],MATCH($AI55,阻害要因×在院期間区分＿寛解・院内寛解[[#All],[値]],0),MATCH($AO$4,阻害要因×在院期間区分＿寛解・院内寛解[#Headers],0)),0)+IFERROR(INDEX(阻害要因×在院期間区分＿寛解・院内寛解[#All],MATCH($AI55,阻害要因×在院期間区分＿寛解・院内寛解[[#All],[値]],0),MATCH($AP$4,阻害要因×在院期間区分＿寛解・院内寛解[#Headers],0)),0)+IFERROR(INDEX(阻害要因×在院期間区分＿寛解・院内寛解[#All],MATCH($AI55,阻害要因×在院期間区分＿寛解・院内寛解[[#All],[値]],0),MATCH($AQ$4,阻害要因×在院期間区分＿寛解・院内寛解[#Headers],0)),0)+IFERROR(INDEX(阻害要因×在院期間区分＿寛解・院内寛解[#All],MATCH($AI55,阻害要因×在院期間区分＿寛解・院内寛解[[#All],[値]],0),MATCH($AR$4,阻害要因×在院期間区分＿寛解・院内寛解[#Headers],0)),0)</f>
        <v>29</v>
      </c>
      <c r="F54" s="73">
        <f t="shared" si="8"/>
        <v>0.14499999999999999</v>
      </c>
      <c r="G54" s="68">
        <f>IFERROR(INDEX(阻害要因×在院期間区分＿寛解・院内寛解[#All],MATCH($AI55,阻害要因×在院期間区分＿寛解・院内寛解[[#All],[値]],0),MATCH($AS$4,阻害要因×在院期間区分＿寛解・院内寛解[#Headers],0)),0)+IFERROR(INDEX(阻害要因×在院期間区分＿寛解・院内寛解[#All],MATCH($AI55,阻害要因×在院期間区分＿寛解・院内寛解[[#All],[値]],0),MATCH($AT$4,阻害要因×在院期間区分＿寛解・院内寛解[#Headers],0)),0)+IFERROR(INDEX(阻害要因×在院期間区分＿寛解・院内寛解[#All],MATCH($AI55,阻害要因×在院期間区分＿寛解・院内寛解[[#All],[値]],0),MATCH($AU$4,阻害要因×在院期間区分＿寛解・院内寛解[#Headers],0)),0)+IFERROR(INDEX(阻害要因×在院期間区分＿寛解・院内寛解[#All],MATCH($AI55,阻害要因×在院期間区分＿寛解・院内寛解[[#All],[値]],0),MATCH($AV$4,阻害要因×在院期間区分＿寛解・院内寛解[#Headers],0)),0)+IFERROR(INDEX(阻害要因×在院期間区分＿寛解・院内寛解[#All],MATCH($AI55,阻害要因×在院期間区分＿寛解・院内寛解[[#All],[値]],0),MATCH($AW$4,阻害要因×在院期間区分＿寛解・院内寛解[#Headers],0)),0)</f>
        <v>16</v>
      </c>
      <c r="H54" s="73">
        <f t="shared" si="9"/>
        <v>0.20512820512820512</v>
      </c>
      <c r="I54" s="68">
        <f>IFERROR(INDEX(阻害要因×在院期間区分＿寛解・院内寛解[#All],MATCH($AI55,阻害要因×在院期間区分＿寛解・院内寛解[[#All],[値]],0),MATCH($AX$4,阻害要因×在院期間区分＿寛解・院内寛解[#Headers],0)),0)+IFERROR(INDEX(阻害要因×在院期間区分＿寛解・院内寛解[#All],MATCH($AI55,阻害要因×在院期間区分＿寛解・院内寛解[[#All],[値]],0),MATCH($AY$4,阻害要因×在院期間区分＿寛解・院内寛解[#Headers],0)),0)</f>
        <v>14</v>
      </c>
      <c r="J54" s="73">
        <f t="shared" si="10"/>
        <v>0.18181818181818182</v>
      </c>
      <c r="K54" s="39">
        <f t="shared" si="11"/>
        <v>121</v>
      </c>
      <c r="L54" s="56" t="s">
        <v>172</v>
      </c>
      <c r="M54" s="66">
        <v>11</v>
      </c>
      <c r="N54" s="66">
        <v>9</v>
      </c>
      <c r="O54" s="66">
        <v>11</v>
      </c>
      <c r="P54" s="66">
        <v>5</v>
      </c>
      <c r="Q54" s="66">
        <v>4</v>
      </c>
      <c r="R54" s="66">
        <v>9</v>
      </c>
      <c r="S54" s="66">
        <v>8</v>
      </c>
      <c r="T54" s="66">
        <v>5</v>
      </c>
      <c r="U54" s="66">
        <v>3</v>
      </c>
      <c r="V54" s="66">
        <v>4</v>
      </c>
      <c r="W54" s="66">
        <v>4</v>
      </c>
      <c r="X54" s="66">
        <v>2</v>
      </c>
      <c r="Y54" s="66">
        <v>3</v>
      </c>
      <c r="Z54" s="66">
        <v>3</v>
      </c>
      <c r="AA54" s="66">
        <v>7</v>
      </c>
      <c r="AB54" s="66">
        <v>7</v>
      </c>
      <c r="AI54" s="411" t="s">
        <v>171</v>
      </c>
    </row>
    <row r="55" spans="2:35" ht="21" customHeight="1" x14ac:dyDescent="0.15">
      <c r="B55" s="105" t="s">
        <v>246</v>
      </c>
      <c r="C55" s="112">
        <f>IFERROR(INDEX(阻害要因×在院期間区分＿寛解・院内寛解[#All],MATCH($AI56,阻害要因×在院期間区分＿寛解・院内寛解[[#All],[値]],0),MATCH($AJ$4,阻害要因×在院期間区分＿寛解・院内寛解[#Headers],0)),0)+IFERROR(INDEX(阻害要因×在院期間区分＿寛解・院内寛解[#All],MATCH($AI56,阻害要因×在院期間区分＿寛解・院内寛解[[#All],[値]],0),MATCH($AK$4,阻害要因×在院期間区分＿寛解・院内寛解[#Headers],0)),0)+IFERROR(INDEX(阻害要因×在院期間区分＿寛解・院内寛解[#All],MATCH($AI56,阻害要因×在院期間区分＿寛解・院内寛解[[#All],[値]],0),MATCH($AL$4,阻害要因×在院期間区分＿寛解・院内寛解[#Headers],0)),0)+IFERROR(INDEX(阻害要因×在院期間区分＿寛解・院内寛解[#All],MATCH($AI56,阻害要因×在院期間区分＿寛解・院内寛解[[#All],[値]],0),MATCH($AM$4,阻害要因×在院期間区分＿寛解・院内寛解[#Headers],0)),0)</f>
        <v>32</v>
      </c>
      <c r="D55" s="73">
        <f t="shared" si="7"/>
        <v>0.14678899082568808</v>
      </c>
      <c r="E55" s="70">
        <f>IFERROR(INDEX(阻害要因×在院期間区分＿寛解・院内寛解[#All],MATCH($AI56,阻害要因×在院期間区分＿寛解・院内寛解[[#All],[値]],0),MATCH($AN$4,阻害要因×在院期間区分＿寛解・院内寛解[#Headers],0)),0)+IFERROR(INDEX(阻害要因×在院期間区分＿寛解・院内寛解[#All],MATCH($AI56,阻害要因×在院期間区分＿寛解・院内寛解[[#All],[値]],0),MATCH($AO$4,阻害要因×在院期間区分＿寛解・院内寛解[#Headers],0)),0)+IFERROR(INDEX(阻害要因×在院期間区分＿寛解・院内寛解[#All],MATCH($AI56,阻害要因×在院期間区分＿寛解・院内寛解[[#All],[値]],0),MATCH($AP$4,阻害要因×在院期間区分＿寛解・院内寛解[#Headers],0)),0)+IFERROR(INDEX(阻害要因×在院期間区分＿寛解・院内寛解[#All],MATCH($AI56,阻害要因×在院期間区分＿寛解・院内寛解[[#All],[値]],0),MATCH($AQ$4,阻害要因×在院期間区分＿寛解・院内寛解[#Headers],0)),0)+IFERROR(INDEX(阻害要因×在院期間区分＿寛解・院内寛解[#All],MATCH($AI56,阻害要因×在院期間区分＿寛解・院内寛解[[#All],[値]],0),MATCH($AR$4,阻害要因×在院期間区分＿寛解・院内寛解[#Headers],0)),0)</f>
        <v>47</v>
      </c>
      <c r="F55" s="73">
        <f t="shared" si="8"/>
        <v>0.23499999999999999</v>
      </c>
      <c r="G55" s="70">
        <f>IFERROR(INDEX(阻害要因×在院期間区分＿寛解・院内寛解[#All],MATCH($AI56,阻害要因×在院期間区分＿寛解・院内寛解[[#All],[値]],0),MATCH($AS$4,阻害要因×在院期間区分＿寛解・院内寛解[#Headers],0)),0)+IFERROR(INDEX(阻害要因×在院期間区分＿寛解・院内寛解[#All],MATCH($AI56,阻害要因×在院期間区分＿寛解・院内寛解[[#All],[値]],0),MATCH($AT$4,阻害要因×在院期間区分＿寛解・院内寛解[#Headers],0)),0)+IFERROR(INDEX(阻害要因×在院期間区分＿寛解・院内寛解[#All],MATCH($AI56,阻害要因×在院期間区分＿寛解・院内寛解[[#All],[値]],0),MATCH($AU$4,阻害要因×在院期間区分＿寛解・院内寛解[#Headers],0)),0)+IFERROR(INDEX(阻害要因×在院期間区分＿寛解・院内寛解[#All],MATCH($AI56,阻害要因×在院期間区分＿寛解・院内寛解[[#All],[値]],0),MATCH($AV$4,阻害要因×在院期間区分＿寛解・院内寛解[#Headers],0)),0)+IFERROR(INDEX(阻害要因×在院期間区分＿寛解・院内寛解[#All],MATCH($AI56,阻害要因×在院期間区分＿寛解・院内寛解[[#All],[値]],0),MATCH($AW$4,阻害要因×在院期間区分＿寛解・院内寛解[#Headers],0)),0)</f>
        <v>20</v>
      </c>
      <c r="H55" s="73">
        <f t="shared" si="9"/>
        <v>0.25641025641025639</v>
      </c>
      <c r="I55" s="70">
        <f>IFERROR(INDEX(阻害要因×在院期間区分＿寛解・院内寛解[#All],MATCH($AI56,阻害要因×在院期間区分＿寛解・院内寛解[[#All],[値]],0),MATCH($AX$4,阻害要因×在院期間区分＿寛解・院内寛解[#Headers],0)),0)+IFERROR(INDEX(阻害要因×在院期間区分＿寛解・院内寛解[#All],MATCH($AI56,阻害要因×在院期間区分＿寛解・院内寛解[[#All],[値]],0),MATCH($AY$4,阻害要因×在院期間区分＿寛解・院内寛解[#Headers],0)),0)</f>
        <v>22</v>
      </c>
      <c r="J55" s="73">
        <f t="shared" si="10"/>
        <v>0.2857142857142857</v>
      </c>
      <c r="K55" s="39">
        <f t="shared" si="11"/>
        <v>234</v>
      </c>
      <c r="L55" s="56" t="s">
        <v>173</v>
      </c>
      <c r="M55" s="66">
        <v>5</v>
      </c>
      <c r="N55" s="66">
        <v>4</v>
      </c>
      <c r="O55" s="66">
        <v>8</v>
      </c>
      <c r="P55" s="66">
        <v>15</v>
      </c>
      <c r="Q55" s="66">
        <v>13</v>
      </c>
      <c r="R55" s="66">
        <v>10</v>
      </c>
      <c r="S55" s="66">
        <v>19</v>
      </c>
      <c r="T55" s="66">
        <v>3</v>
      </c>
      <c r="U55" s="66">
        <v>2</v>
      </c>
      <c r="V55" s="66">
        <v>1</v>
      </c>
      <c r="W55" s="66">
        <v>8</v>
      </c>
      <c r="X55" s="66">
        <v>4</v>
      </c>
      <c r="Y55" s="66">
        <v>4</v>
      </c>
      <c r="Z55" s="66">
        <v>3</v>
      </c>
      <c r="AA55" s="66">
        <v>16</v>
      </c>
      <c r="AB55" s="66">
        <v>6</v>
      </c>
      <c r="AI55" s="411" t="s">
        <v>172</v>
      </c>
    </row>
    <row r="56" spans="2:35" ht="21" customHeight="1" x14ac:dyDescent="0.15">
      <c r="B56" s="105" t="s">
        <v>46</v>
      </c>
      <c r="C56" s="112">
        <f>IFERROR(INDEX(阻害要因×在院期間区分＿寛解・院内寛解[#All],MATCH($AI57,阻害要因×在院期間区分＿寛解・院内寛解[[#All],[値]],0),MATCH($AJ$4,阻害要因×在院期間区分＿寛解・院内寛解[#Headers],0)),0)+IFERROR(INDEX(阻害要因×在院期間区分＿寛解・院内寛解[#All],MATCH($AI57,阻害要因×在院期間区分＿寛解・院内寛解[[#All],[値]],0),MATCH($AK$4,阻害要因×在院期間区分＿寛解・院内寛解[#Headers],0)),0)+IFERROR(INDEX(阻害要因×在院期間区分＿寛解・院内寛解[#All],MATCH($AI57,阻害要因×在院期間区分＿寛解・院内寛解[[#All],[値]],0),MATCH($AL$4,阻害要因×在院期間区分＿寛解・院内寛解[#Headers],0)),0)+IFERROR(INDEX(阻害要因×在院期間区分＿寛解・院内寛解[#All],MATCH($AI57,阻害要因×在院期間区分＿寛解・院内寛解[[#All],[値]],0),MATCH($AM$4,阻害要因×在院期間区分＿寛解・院内寛解[#Headers],0)),0)</f>
        <v>104</v>
      </c>
      <c r="D56" s="73">
        <f t="shared" si="7"/>
        <v>0.47706422018348627</v>
      </c>
      <c r="E56" s="70">
        <f>IFERROR(INDEX(阻害要因×在院期間区分＿寛解・院内寛解[#All],MATCH($AI57,阻害要因×在院期間区分＿寛解・院内寛解[[#All],[値]],0),MATCH($AN$4,阻害要因×在院期間区分＿寛解・院内寛解[#Headers],0)),0)+IFERROR(INDEX(阻害要因×在院期間区分＿寛解・院内寛解[#All],MATCH($AI57,阻害要因×在院期間区分＿寛解・院内寛解[[#All],[値]],0),MATCH($AO$4,阻害要因×在院期間区分＿寛解・院内寛解[#Headers],0)),0)+IFERROR(INDEX(阻害要因×在院期間区分＿寛解・院内寛解[#All],MATCH($AI57,阻害要因×在院期間区分＿寛解・院内寛解[[#All],[値]],0),MATCH($AP$4,阻害要因×在院期間区分＿寛解・院内寛解[#Headers],0)),0)+IFERROR(INDEX(阻害要因×在院期間区分＿寛解・院内寛解[#All],MATCH($AI57,阻害要因×在院期間区分＿寛解・院内寛解[[#All],[値]],0),MATCH($AQ$4,阻害要因×在院期間区分＿寛解・院内寛解[#Headers],0)),0)+IFERROR(INDEX(阻害要因×在院期間区分＿寛解・院内寛解[#All],MATCH($AI57,阻害要因×在院期間区分＿寛解・院内寛解[[#All],[値]],0),MATCH($AR$4,阻害要因×在院期間区分＿寛解・院内寛解[#Headers],0)),0)</f>
        <v>88</v>
      </c>
      <c r="F56" s="73">
        <f t="shared" si="8"/>
        <v>0.44</v>
      </c>
      <c r="G56" s="70">
        <f>IFERROR(INDEX(阻害要因×在院期間区分＿寛解・院内寛解[#All],MATCH($AI57,阻害要因×在院期間区分＿寛解・院内寛解[[#All],[値]],0),MATCH($AS$4,阻害要因×在院期間区分＿寛解・院内寛解[#Headers],0)),0)+IFERROR(INDEX(阻害要因×在院期間区分＿寛解・院内寛解[#All],MATCH($AI57,阻害要因×在院期間区分＿寛解・院内寛解[[#All],[値]],0),MATCH($AT$4,阻害要因×在院期間区分＿寛解・院内寛解[#Headers],0)),0)+IFERROR(INDEX(阻害要因×在院期間区分＿寛解・院内寛解[#All],MATCH($AI57,阻害要因×在院期間区分＿寛解・院内寛解[[#All],[値]],0),MATCH($AU$4,阻害要因×在院期間区分＿寛解・院内寛解[#Headers],0)),0)+IFERROR(INDEX(阻害要因×在院期間区分＿寛解・院内寛解[#All],MATCH($AI57,阻害要因×在院期間区分＿寛解・院内寛解[[#All],[値]],0),MATCH($AV$4,阻害要因×在院期間区分＿寛解・院内寛解[#Headers],0)),0)+IFERROR(INDEX(阻害要因×在院期間区分＿寛解・院内寛解[#All],MATCH($AI57,阻害要因×在院期間区分＿寛解・院内寛解[[#All],[値]],0),MATCH($AW$4,阻害要因×在院期間区分＿寛解・院内寛解[#Headers],0)),0)</f>
        <v>20</v>
      </c>
      <c r="H56" s="73">
        <f t="shared" si="9"/>
        <v>0.25641025641025639</v>
      </c>
      <c r="I56" s="70">
        <f>IFERROR(INDEX(阻害要因×在院期間区分＿寛解・院内寛解[#All],MATCH($AI57,阻害要因×在院期間区分＿寛解・院内寛解[[#All],[値]],0),MATCH($AX$4,阻害要因×在院期間区分＿寛解・院内寛解[#Headers],0)),0)+IFERROR(INDEX(阻害要因×在院期間区分＿寛解・院内寛解[#All],MATCH($AI57,阻害要因×在院期間区分＿寛解・院内寛解[[#All],[値]],0),MATCH($AY$4,阻害要因×在院期間区分＿寛解・院内寛解[#Headers],0)),0)</f>
        <v>22</v>
      </c>
      <c r="J56" s="73">
        <f t="shared" si="10"/>
        <v>0.2857142857142857</v>
      </c>
      <c r="K56" s="39">
        <f t="shared" si="11"/>
        <v>41</v>
      </c>
      <c r="L56" s="56" t="s">
        <v>174</v>
      </c>
      <c r="M56" s="66">
        <v>16</v>
      </c>
      <c r="N56" s="66">
        <v>18</v>
      </c>
      <c r="O56" s="66">
        <v>37</v>
      </c>
      <c r="P56" s="66">
        <v>33</v>
      </c>
      <c r="Q56" s="66">
        <v>23</v>
      </c>
      <c r="R56" s="66">
        <v>19</v>
      </c>
      <c r="S56" s="66">
        <v>23</v>
      </c>
      <c r="T56" s="66">
        <v>16</v>
      </c>
      <c r="U56" s="66">
        <v>7</v>
      </c>
      <c r="V56" s="66">
        <v>5</v>
      </c>
      <c r="W56" s="66">
        <v>4</v>
      </c>
      <c r="X56" s="66">
        <v>2</v>
      </c>
      <c r="Y56" s="66">
        <v>5</v>
      </c>
      <c r="Z56" s="66">
        <v>4</v>
      </c>
      <c r="AA56" s="66">
        <v>16</v>
      </c>
      <c r="AB56" s="66">
        <v>6</v>
      </c>
      <c r="AI56" s="411" t="s">
        <v>173</v>
      </c>
    </row>
    <row r="57" spans="2:35" ht="21" customHeight="1" x14ac:dyDescent="0.15">
      <c r="B57" s="105" t="s">
        <v>47</v>
      </c>
      <c r="C57" s="120">
        <f>IFERROR(INDEX(阻害要因×在院期間区分＿寛解・院内寛解[#All],MATCH($AI58,阻害要因×在院期間区分＿寛解・院内寛解[[#All],[値]],0),MATCH($AJ$4,阻害要因×在院期間区分＿寛解・院内寛解[#Headers],0)),0)+IFERROR(INDEX(阻害要因×在院期間区分＿寛解・院内寛解[#All],MATCH($AI58,阻害要因×在院期間区分＿寛解・院内寛解[[#All],[値]],0),MATCH($AK$4,阻害要因×在院期間区分＿寛解・院内寛解[#Headers],0)),0)+IFERROR(INDEX(阻害要因×在院期間区分＿寛解・院内寛解[#All],MATCH($AI58,阻害要因×在院期間区分＿寛解・院内寛解[[#All],[値]],0),MATCH($AL$4,阻害要因×在院期間区分＿寛解・院内寛解[#Headers],0)),0)+IFERROR(INDEX(阻害要因×在院期間区分＿寛解・院内寛解[#All],MATCH($AI58,阻害要因×在院期間区分＿寛解・院内寛解[[#All],[値]],0),MATCH($AM$4,阻害要因×在院期間区分＿寛解・院内寛解[#Headers],0)),0)</f>
        <v>15</v>
      </c>
      <c r="D57" s="73">
        <f t="shared" si="7"/>
        <v>6.8807339449541288E-2</v>
      </c>
      <c r="E57" s="71">
        <f>IFERROR(INDEX(阻害要因×在院期間区分＿寛解・院内寛解[#All],MATCH($AI58,阻害要因×在院期間区分＿寛解・院内寛解[[#All],[値]],0),MATCH($AN$4,阻害要因×在院期間区分＿寛解・院内寛解[#Headers],0)),0)+IFERROR(INDEX(阻害要因×在院期間区分＿寛解・院内寛解[#All],MATCH($AI58,阻害要因×在院期間区分＿寛解・院内寛解[[#All],[値]],0),MATCH($AO$4,阻害要因×在院期間区分＿寛解・院内寛解[#Headers],0)),0)+IFERROR(INDEX(阻害要因×在院期間区分＿寛解・院内寛解[#All],MATCH($AI58,阻害要因×在院期間区分＿寛解・院内寛解[[#All],[値]],0),MATCH($AP$4,阻害要因×在院期間区分＿寛解・院内寛解[#Headers],0)),0)+IFERROR(INDEX(阻害要因×在院期間区分＿寛解・院内寛解[#All],MATCH($AI58,阻害要因×在院期間区分＿寛解・院内寛解[[#All],[値]],0),MATCH($AQ$4,阻害要因×在院期間区分＿寛解・院内寛解[#Headers],0)),0)+IFERROR(INDEX(阻害要因×在院期間区分＿寛解・院内寛解[#All],MATCH($AI58,阻害要因×在院期間区分＿寛解・院内寛解[[#All],[値]],0),MATCH($AR$4,阻害要因×在院期間区分＿寛解・院内寛解[#Headers],0)),0)</f>
        <v>19</v>
      </c>
      <c r="F57" s="73">
        <f t="shared" si="8"/>
        <v>9.5000000000000001E-2</v>
      </c>
      <c r="G57" s="71">
        <f>IFERROR(INDEX(阻害要因×在院期間区分＿寛解・院内寛解[#All],MATCH($AI58,阻害要因×在院期間区分＿寛解・院内寛解[[#All],[値]],0),MATCH($AS$4,阻害要因×在院期間区分＿寛解・院内寛解[#Headers],0)),0)+IFERROR(INDEX(阻害要因×在院期間区分＿寛解・院内寛解[#All],MATCH($AI58,阻害要因×在院期間区分＿寛解・院内寛解[[#All],[値]],0),MATCH($AT$4,阻害要因×在院期間区分＿寛解・院内寛解[#Headers],0)),0)+IFERROR(INDEX(阻害要因×在院期間区分＿寛解・院内寛解[#All],MATCH($AI58,阻害要因×在院期間区分＿寛解・院内寛解[[#All],[値]],0),MATCH($AU$4,阻害要因×在院期間区分＿寛解・院内寛解[#Headers],0)),0)+IFERROR(INDEX(阻害要因×在院期間区分＿寛解・院内寛解[#All],MATCH($AI58,阻害要因×在院期間区分＿寛解・院内寛解[[#All],[値]],0),MATCH($AV$4,阻害要因×在院期間区分＿寛解・院内寛解[#Headers],0)),0)+IFERROR(INDEX(阻害要因×在院期間区分＿寛解・院内寛解[#All],MATCH($AI58,阻害要因×在院期間区分＿寛解・院内寛解[[#All],[値]],0),MATCH($AW$4,阻害要因×在院期間区分＿寛解・院内寛解[#Headers],0)),0)</f>
        <v>2</v>
      </c>
      <c r="H57" s="73">
        <f t="shared" si="9"/>
        <v>2.564102564102564E-2</v>
      </c>
      <c r="I57" s="71">
        <f>IFERROR(INDEX(阻害要因×在院期間区分＿寛解・院内寛解[#All],MATCH($AI58,阻害要因×在院期間区分＿寛解・院内寛解[[#All],[値]],0),MATCH($AX$4,阻害要因×在院期間区分＿寛解・院内寛解[#Headers],0)),0)+IFERROR(INDEX(阻害要因×在院期間区分＿寛解・院内寛解[#All],MATCH($AI58,阻害要因×在院期間区分＿寛解・院内寛解[[#All],[値]],0),MATCH($AY$4,阻害要因×在院期間区分＿寛解・院内寛解[#Headers],0)),0)</f>
        <v>5</v>
      </c>
      <c r="J57" s="73">
        <f t="shared" si="10"/>
        <v>6.4935064935064929E-2</v>
      </c>
      <c r="K57" s="39">
        <f t="shared" si="11"/>
        <v>26</v>
      </c>
      <c r="L57" s="56" t="s">
        <v>175</v>
      </c>
      <c r="M57" s="66">
        <v>0</v>
      </c>
      <c r="N57" s="66">
        <v>2</v>
      </c>
      <c r="O57" s="66">
        <v>6</v>
      </c>
      <c r="P57" s="66">
        <v>7</v>
      </c>
      <c r="Q57" s="66">
        <v>5</v>
      </c>
      <c r="R57" s="66">
        <v>5</v>
      </c>
      <c r="S57" s="66">
        <v>4</v>
      </c>
      <c r="T57" s="66">
        <v>3</v>
      </c>
      <c r="U57" s="66">
        <v>2</v>
      </c>
      <c r="V57" s="66">
        <v>0</v>
      </c>
      <c r="W57" s="66">
        <v>1</v>
      </c>
      <c r="X57" s="66">
        <v>0</v>
      </c>
      <c r="Y57" s="66">
        <v>1</v>
      </c>
      <c r="Z57" s="66">
        <v>0</v>
      </c>
      <c r="AA57" s="66">
        <v>3</v>
      </c>
      <c r="AB57" s="66">
        <v>2</v>
      </c>
      <c r="AI57" s="411" t="s">
        <v>174</v>
      </c>
    </row>
    <row r="58" spans="2:35" ht="21" customHeight="1" x14ac:dyDescent="0.15">
      <c r="B58" s="105" t="s">
        <v>48</v>
      </c>
      <c r="C58" s="112">
        <f>IFERROR(INDEX(阻害要因×在院期間区分＿寛解・院内寛解[#All],MATCH($AI59,阻害要因×在院期間区分＿寛解・院内寛解[[#All],[値]],0),MATCH($AJ$4,阻害要因×在院期間区分＿寛解・院内寛解[#Headers],0)),0)+IFERROR(INDEX(阻害要因×在院期間区分＿寛解・院内寛解[#All],MATCH($AI59,阻害要因×在院期間区分＿寛解・院内寛解[[#All],[値]],0),MATCH($AK$4,阻害要因×在院期間区分＿寛解・院内寛解[#Headers],0)),0)+IFERROR(INDEX(阻害要因×在院期間区分＿寛解・院内寛解[#All],MATCH($AI59,阻害要因×在院期間区分＿寛解・院内寛解[[#All],[値]],0),MATCH($AL$4,阻害要因×在院期間区分＿寛解・院内寛解[#Headers],0)),0)+IFERROR(INDEX(阻害要因×在院期間区分＿寛解・院内寛解[#All],MATCH($AI59,阻害要因×在院期間区分＿寛解・院内寛解[[#All],[値]],0),MATCH($AM$4,阻害要因×在院期間区分＿寛解・院内寛解[#Headers],0)),0)</f>
        <v>11</v>
      </c>
      <c r="D58" s="73">
        <f t="shared" si="7"/>
        <v>5.0458715596330278E-2</v>
      </c>
      <c r="E58" s="70">
        <f>IFERROR(INDEX(阻害要因×在院期間区分＿寛解・院内寛解[#All],MATCH($AI59,阻害要因×在院期間区分＿寛解・院内寛解[[#All],[値]],0),MATCH($AN$4,阻害要因×在院期間区分＿寛解・院内寛解[#Headers],0)),0)+IFERROR(INDEX(阻害要因×在院期間区分＿寛解・院内寛解[#All],MATCH($AI59,阻害要因×在院期間区分＿寛解・院内寛解[[#All],[値]],0),MATCH($AO$4,阻害要因×在院期間区分＿寛解・院内寛解[#Headers],0)),0)+IFERROR(INDEX(阻害要因×在院期間区分＿寛解・院内寛解[#All],MATCH($AI59,阻害要因×在院期間区分＿寛解・院内寛解[[#All],[値]],0),MATCH($AP$4,阻害要因×在院期間区分＿寛解・院内寛解[#Headers],0)),0)+IFERROR(INDEX(阻害要因×在院期間区分＿寛解・院内寛解[#All],MATCH($AI59,阻害要因×在院期間区分＿寛解・院内寛解[[#All],[値]],0),MATCH($AQ$4,阻害要因×在院期間区分＿寛解・院内寛解[#Headers],0)),0)+IFERROR(INDEX(阻害要因×在院期間区分＿寛解・院内寛解[#All],MATCH($AI59,阻害要因×在院期間区分＿寛解・院内寛解[[#All],[値]],0),MATCH($AR$4,阻害要因×在院期間区分＿寛解・院内寛解[#Headers],0)),0)</f>
        <v>8</v>
      </c>
      <c r="F58" s="73">
        <f t="shared" si="8"/>
        <v>0.04</v>
      </c>
      <c r="G58" s="70">
        <f>IFERROR(INDEX(阻害要因×在院期間区分＿寛解・院内寛解[#All],MATCH($AI59,阻害要因×在院期間区分＿寛解・院内寛解[[#All],[値]],0),MATCH($AS$4,阻害要因×在院期間区分＿寛解・院内寛解[#Headers],0)),0)+IFERROR(INDEX(阻害要因×在院期間区分＿寛解・院内寛解[#All],MATCH($AI59,阻害要因×在院期間区分＿寛解・院内寛解[[#All],[値]],0),MATCH($AT$4,阻害要因×在院期間区分＿寛解・院内寛解[#Headers],0)),0)+IFERROR(INDEX(阻害要因×在院期間区分＿寛解・院内寛解[#All],MATCH($AI59,阻害要因×在院期間区分＿寛解・院内寛解[[#All],[値]],0),MATCH($AU$4,阻害要因×在院期間区分＿寛解・院内寛解[#Headers],0)),0)+IFERROR(INDEX(阻害要因×在院期間区分＿寛解・院内寛解[#All],MATCH($AI59,阻害要因×在院期間区分＿寛解・院内寛解[[#All],[値]],0),MATCH($AV$4,阻害要因×在院期間区分＿寛解・院内寛解[#Headers],0)),0)+IFERROR(INDEX(阻害要因×在院期間区分＿寛解・院内寛解[#All],MATCH($AI59,阻害要因×在院期間区分＿寛解・院内寛解[[#All],[値]],0),MATCH($AW$4,阻害要因×在院期間区分＿寛解・院内寛解[#Headers],0)),0)</f>
        <v>4</v>
      </c>
      <c r="H58" s="73">
        <f t="shared" si="9"/>
        <v>5.128205128205128E-2</v>
      </c>
      <c r="I58" s="70">
        <f>IFERROR(INDEX(阻害要因×在院期間区分＿寛解・院内寛解[#All],MATCH($AI59,阻害要因×在院期間区分＿寛解・院内寛解[[#All],[値]],0),MATCH($AX$4,阻害要因×在院期間区分＿寛解・院内寛解[#Headers],0)),0)+IFERROR(INDEX(阻害要因×在院期間区分＿寛解・院内寛解[#All],MATCH($AI59,阻害要因×在院期間区分＿寛解・院内寛解[[#All],[値]],0),MATCH($AY$4,阻害要因×在院期間区分＿寛解・院内寛解[#Headers],0)),0)</f>
        <v>3</v>
      </c>
      <c r="J58" s="73">
        <f t="shared" si="10"/>
        <v>3.896103896103896E-2</v>
      </c>
      <c r="K58" s="39">
        <f t="shared" si="11"/>
        <v>3</v>
      </c>
      <c r="L58" s="56" t="s">
        <v>176</v>
      </c>
      <c r="M58" s="66">
        <v>1</v>
      </c>
      <c r="N58" s="66">
        <v>1</v>
      </c>
      <c r="O58" s="66">
        <v>5</v>
      </c>
      <c r="P58" s="66">
        <v>4</v>
      </c>
      <c r="Q58" s="66">
        <v>1</v>
      </c>
      <c r="R58" s="66">
        <v>1</v>
      </c>
      <c r="S58" s="66">
        <v>4</v>
      </c>
      <c r="T58" s="66">
        <v>2</v>
      </c>
      <c r="U58" s="66">
        <v>0</v>
      </c>
      <c r="V58" s="66">
        <v>0</v>
      </c>
      <c r="W58" s="66">
        <v>2</v>
      </c>
      <c r="X58" s="66">
        <v>0</v>
      </c>
      <c r="Y58" s="66">
        <v>0</v>
      </c>
      <c r="Z58" s="66">
        <v>2</v>
      </c>
      <c r="AA58" s="66">
        <v>3</v>
      </c>
      <c r="AB58" s="66">
        <v>0</v>
      </c>
      <c r="AI58" s="411" t="s">
        <v>175</v>
      </c>
    </row>
    <row r="59" spans="2:35" ht="21" customHeight="1" x14ac:dyDescent="0.15">
      <c r="B59" s="105" t="s">
        <v>49</v>
      </c>
      <c r="C59" s="120">
        <f>IFERROR(INDEX(阻害要因×在院期間区分＿寛解・院内寛解[#All],MATCH($AI60,阻害要因×在院期間区分＿寛解・院内寛解[[#All],[値]],0),MATCH($AJ$4,阻害要因×在院期間区分＿寛解・院内寛解[#Headers],0)),0)+IFERROR(INDEX(阻害要因×在院期間区分＿寛解・院内寛解[#All],MATCH($AI60,阻害要因×在院期間区分＿寛解・院内寛解[[#All],[値]],0),MATCH($AK$4,阻害要因×在院期間区分＿寛解・院内寛解[#Headers],0)),0)+IFERROR(INDEX(阻害要因×在院期間区分＿寛解・院内寛解[#All],MATCH($AI60,阻害要因×在院期間区分＿寛解・院内寛解[[#All],[値]],0),MATCH($AL$4,阻害要因×在院期間区分＿寛解・院内寛解[#Headers],0)),0)+IFERROR(INDEX(阻害要因×在院期間区分＿寛解・院内寛解[#All],MATCH($AI60,阻害要因×在院期間区分＿寛解・院内寛解[[#All],[値]],0),MATCH($AM$4,阻害要因×在院期間区分＿寛解・院内寛解[#Headers],0)),0)</f>
        <v>1</v>
      </c>
      <c r="D59" s="73">
        <f t="shared" si="7"/>
        <v>4.5871559633027525E-3</v>
      </c>
      <c r="E59" s="70">
        <f>IFERROR(INDEX(阻害要因×在院期間区分＿寛解・院内寛解[#All],MATCH($AI60,阻害要因×在院期間区分＿寛解・院内寛解[[#All],[値]],0),MATCH($AN$4,阻害要因×在院期間区分＿寛解・院内寛解[#Headers],0)),0)+IFERROR(INDEX(阻害要因×在院期間区分＿寛解・院内寛解[#All],MATCH($AI60,阻害要因×在院期間区分＿寛解・院内寛解[[#All],[値]],0),MATCH($AO$4,阻害要因×在院期間区分＿寛解・院内寛解[#Headers],0)),0)+IFERROR(INDEX(阻害要因×在院期間区分＿寛解・院内寛解[#All],MATCH($AI60,阻害要因×在院期間区分＿寛解・院内寛解[[#All],[値]],0),MATCH($AP$4,阻害要因×在院期間区分＿寛解・院内寛解[#Headers],0)),0)+IFERROR(INDEX(阻害要因×在院期間区分＿寛解・院内寛解[#All],MATCH($AI60,阻害要因×在院期間区分＿寛解・院内寛解[[#All],[値]],0),MATCH($AQ$4,阻害要因×在院期間区分＿寛解・院内寛解[#Headers],0)),0)+IFERROR(INDEX(阻害要因×在院期間区分＿寛解・院内寛解[#All],MATCH($AI60,阻害要因×在院期間区分＿寛解・院内寛解[[#All],[値]],0),MATCH($AR$4,阻害要因×在院期間区分＿寛解・院内寛解[#Headers],0)),0)</f>
        <v>1</v>
      </c>
      <c r="F59" s="73">
        <f t="shared" si="8"/>
        <v>5.0000000000000001E-3</v>
      </c>
      <c r="G59" s="70">
        <f>IFERROR(INDEX(阻害要因×在院期間区分＿寛解・院内寛解[#All],MATCH($AI60,阻害要因×在院期間区分＿寛解・院内寛解[[#All],[値]],0),MATCH($AS$4,阻害要因×在院期間区分＿寛解・院内寛解[#Headers],0)),0)+IFERROR(INDEX(阻害要因×在院期間区分＿寛解・院内寛解[#All],MATCH($AI60,阻害要因×在院期間区分＿寛解・院内寛解[[#All],[値]],0),MATCH($AT$4,阻害要因×在院期間区分＿寛解・院内寛解[#Headers],0)),0)+IFERROR(INDEX(阻害要因×在院期間区分＿寛解・院内寛解[#All],MATCH($AI60,阻害要因×在院期間区分＿寛解・院内寛解[[#All],[値]],0),MATCH($AU$4,阻害要因×在院期間区分＿寛解・院内寛解[#Headers],0)),0)+IFERROR(INDEX(阻害要因×在院期間区分＿寛解・院内寛解[#All],MATCH($AI60,阻害要因×在院期間区分＿寛解・院内寛解[[#All],[値]],0),MATCH($AV$4,阻害要因×在院期間区分＿寛解・院内寛解[#Headers],0)),0)+IFERROR(INDEX(阻害要因×在院期間区分＿寛解・院内寛解[#All],MATCH($AI60,阻害要因×在院期間区分＿寛解・院内寛解[[#All],[値]],0),MATCH($AW$4,阻害要因×在院期間区分＿寛解・院内寛解[#Headers],0)),0)</f>
        <v>0</v>
      </c>
      <c r="H59" s="73">
        <f t="shared" si="9"/>
        <v>0</v>
      </c>
      <c r="I59" s="70">
        <f>IFERROR(INDEX(阻害要因×在院期間区分＿寛解・院内寛解[#All],MATCH($AI60,阻害要因×在院期間区分＿寛解・院内寛解[[#All],[値]],0),MATCH($AX$4,阻害要因×在院期間区分＿寛解・院内寛解[#Headers],0)),0)+IFERROR(INDEX(阻害要因×在院期間区分＿寛解・院内寛解[#All],MATCH($AI60,阻害要因×在院期間区分＿寛解・院内寛解[[#All],[値]],0),MATCH($AY$4,阻害要因×在院期間区分＿寛解・院内寛解[#Headers],0)),0)</f>
        <v>1</v>
      </c>
      <c r="J59" s="73">
        <f t="shared" si="10"/>
        <v>1.2987012987012988E-2</v>
      </c>
      <c r="K59" s="39">
        <f t="shared" si="11"/>
        <v>60</v>
      </c>
      <c r="L59" s="56" t="s">
        <v>177</v>
      </c>
      <c r="M59" s="66">
        <v>0</v>
      </c>
      <c r="N59" s="66">
        <v>0</v>
      </c>
      <c r="O59" s="66">
        <v>1</v>
      </c>
      <c r="P59" s="66">
        <v>0</v>
      </c>
      <c r="Q59" s="66">
        <v>0</v>
      </c>
      <c r="R59" s="66">
        <v>0</v>
      </c>
      <c r="S59" s="66">
        <v>0</v>
      </c>
      <c r="T59" s="66">
        <v>1</v>
      </c>
      <c r="U59" s="66">
        <v>0</v>
      </c>
      <c r="V59" s="66">
        <v>0</v>
      </c>
      <c r="W59" s="66">
        <v>0</v>
      </c>
      <c r="X59" s="66">
        <v>0</v>
      </c>
      <c r="Y59" s="66">
        <v>0</v>
      </c>
      <c r="Z59" s="66">
        <v>0</v>
      </c>
      <c r="AA59" s="66">
        <v>1</v>
      </c>
      <c r="AB59" s="66">
        <v>0</v>
      </c>
      <c r="AI59" s="411" t="s">
        <v>176</v>
      </c>
    </row>
    <row r="60" spans="2:35" ht="21" customHeight="1" x14ac:dyDescent="0.15">
      <c r="B60" s="105" t="s">
        <v>50</v>
      </c>
      <c r="C60" s="114">
        <f>IFERROR(INDEX(阻害要因×在院期間区分＿寛解・院内寛解[#All],MATCH($AI61,阻害要因×在院期間区分＿寛解・院内寛解[[#All],[値]],0),MATCH($AJ$4,阻害要因×在院期間区分＿寛解・院内寛解[#Headers],0)),0)+IFERROR(INDEX(阻害要因×在院期間区分＿寛解・院内寛解[#All],MATCH($AI61,阻害要因×在院期間区分＿寛解・院内寛解[[#All],[値]],0),MATCH($AK$4,阻害要因×在院期間区分＿寛解・院内寛解[#Headers],0)),0)+IFERROR(INDEX(阻害要因×在院期間区分＿寛解・院内寛解[#All],MATCH($AI61,阻害要因×在院期間区分＿寛解・院内寛解[[#All],[値]],0),MATCH($AL$4,阻害要因×在院期間区分＿寛解・院内寛解[#Headers],0)),0)+IFERROR(INDEX(阻害要因×在院期間区分＿寛解・院内寛解[#All],MATCH($AI61,阻害要因×在院期間区分＿寛解・院内寛解[[#All],[値]],0),MATCH($AM$4,阻害要因×在院期間区分＿寛解・院内寛解[#Headers],0)),0)</f>
        <v>17</v>
      </c>
      <c r="D60" s="73">
        <f t="shared" si="7"/>
        <v>7.7981651376146793E-2</v>
      </c>
      <c r="E60" s="71">
        <f>IFERROR(INDEX(阻害要因×在院期間区分＿寛解・院内寛解[#All],MATCH($AI61,阻害要因×在院期間区分＿寛解・院内寛解[[#All],[値]],0),MATCH($AN$4,阻害要因×在院期間区分＿寛解・院内寛解[#Headers],0)),0)+IFERROR(INDEX(阻害要因×在院期間区分＿寛解・院内寛解[#All],MATCH($AI61,阻害要因×在院期間区分＿寛解・院内寛解[[#All],[値]],0),MATCH($AO$4,阻害要因×在院期間区分＿寛解・院内寛解[#Headers],0)),0)+IFERROR(INDEX(阻害要因×在院期間区分＿寛解・院内寛解[#All],MATCH($AI61,阻害要因×在院期間区分＿寛解・院内寛解[[#All],[値]],0),MATCH($AP$4,阻害要因×在院期間区分＿寛解・院内寛解[#Headers],0)),0)+IFERROR(INDEX(阻害要因×在院期間区分＿寛解・院内寛解[#All],MATCH($AI61,阻害要因×在院期間区分＿寛解・院内寛解[[#All],[値]],0),MATCH($AQ$4,阻害要因×在院期間区分＿寛解・院内寛解[#Headers],0)),0)+IFERROR(INDEX(阻害要因×在院期間区分＿寛解・院内寛解[#All],MATCH($AI61,阻害要因×在院期間区分＿寛解・院内寛解[[#All],[値]],0),MATCH($AR$4,阻害要因×在院期間区分＿寛解・院内寛解[#Headers],0)),0)</f>
        <v>32</v>
      </c>
      <c r="F60" s="73">
        <f t="shared" si="8"/>
        <v>0.16</v>
      </c>
      <c r="G60" s="71">
        <f>IFERROR(INDEX(阻害要因×在院期間区分＿寛解・院内寛解[#All],MATCH($AI61,阻害要因×在院期間区分＿寛解・院内寛解[[#All],[値]],0),MATCH($AS$4,阻害要因×在院期間区分＿寛解・院内寛解[#Headers],0)),0)+IFERROR(INDEX(阻害要因×在院期間区分＿寛解・院内寛解[#All],MATCH($AI61,阻害要因×在院期間区分＿寛解・院内寛解[[#All],[値]],0),MATCH($AT$4,阻害要因×在院期間区分＿寛解・院内寛解[#Headers],0)),0)+IFERROR(INDEX(阻害要因×在院期間区分＿寛解・院内寛解[#All],MATCH($AI61,阻害要因×在院期間区分＿寛解・院内寛解[[#All],[値]],0),MATCH($AU$4,阻害要因×在院期間区分＿寛解・院内寛解[#Headers],0)),0)+IFERROR(INDEX(阻害要因×在院期間区分＿寛解・院内寛解[#All],MATCH($AI61,阻害要因×在院期間区分＿寛解・院内寛解[[#All],[値]],0),MATCH($AV$4,阻害要因×在院期間区分＿寛解・院内寛解[#Headers],0)),0)+IFERROR(INDEX(阻害要因×在院期間区分＿寛解・院内寛解[#All],MATCH($AI61,阻害要因×在院期間区分＿寛解・院内寛解[[#All],[値]],0),MATCH($AW$4,阻害要因×在院期間区分＿寛解・院内寛解[#Headers],0)),0)</f>
        <v>5</v>
      </c>
      <c r="H60" s="73">
        <f t="shared" si="9"/>
        <v>6.4102564102564097E-2</v>
      </c>
      <c r="I60" s="71">
        <f>IFERROR(INDEX(阻害要因×在院期間区分＿寛解・院内寛解[#All],MATCH($AI61,阻害要因×在院期間区分＿寛解・院内寛解[[#All],[値]],0),MATCH($AX$4,阻害要因×在院期間区分＿寛解・院内寛解[#Headers],0)),0)+IFERROR(INDEX(阻害要因×在院期間区分＿寛解・院内寛解[#All],MATCH($AI61,阻害要因×在院期間区分＿寛解・院内寛解[[#All],[値]],0),MATCH($AY$4,阻害要因×在院期間区分＿寛解・院内寛解[#Headers],0)),0)</f>
        <v>6</v>
      </c>
      <c r="J60" s="73">
        <f t="shared" si="10"/>
        <v>7.792207792207792E-2</v>
      </c>
      <c r="K60" s="39">
        <f t="shared" si="11"/>
        <v>63</v>
      </c>
      <c r="L60" s="56" t="s">
        <v>178</v>
      </c>
      <c r="M60" s="66">
        <v>2</v>
      </c>
      <c r="N60" s="66">
        <v>5</v>
      </c>
      <c r="O60" s="66">
        <v>5</v>
      </c>
      <c r="P60" s="66">
        <v>5</v>
      </c>
      <c r="Q60" s="66">
        <v>5</v>
      </c>
      <c r="R60" s="66">
        <v>9</v>
      </c>
      <c r="S60" s="66">
        <v>8</v>
      </c>
      <c r="T60" s="66">
        <v>10</v>
      </c>
      <c r="U60" s="66">
        <v>0</v>
      </c>
      <c r="V60" s="66">
        <v>0</v>
      </c>
      <c r="W60" s="66">
        <v>3</v>
      </c>
      <c r="X60" s="66">
        <v>0</v>
      </c>
      <c r="Y60" s="66">
        <v>0</v>
      </c>
      <c r="Z60" s="66">
        <v>2</v>
      </c>
      <c r="AA60" s="66">
        <v>6</v>
      </c>
      <c r="AB60" s="66">
        <v>0</v>
      </c>
      <c r="AI60" s="411" t="s">
        <v>177</v>
      </c>
    </row>
    <row r="61" spans="2:35" ht="21" customHeight="1" x14ac:dyDescent="0.15">
      <c r="B61" s="105" t="s">
        <v>51</v>
      </c>
      <c r="C61" s="112">
        <f>IFERROR(INDEX(阻害要因×在院期間区分＿寛解・院内寛解[#All],MATCH($AI62,阻害要因×在院期間区分＿寛解・院内寛解[[#All],[値]],0),MATCH($AJ$4,阻害要因×在院期間区分＿寛解・院内寛解[#Headers],0)),0)+IFERROR(INDEX(阻害要因×在院期間区分＿寛解・院内寛解[#All],MATCH($AI62,阻害要因×在院期間区分＿寛解・院内寛解[[#All],[値]],0),MATCH($AK$4,阻害要因×在院期間区分＿寛解・院内寛解[#Headers],0)),0)+IFERROR(INDEX(阻害要因×在院期間区分＿寛解・院内寛解[#All],MATCH($AI62,阻害要因×在院期間区分＿寛解・院内寛解[[#All],[値]],0),MATCH($AL$4,阻害要因×在院期間区分＿寛解・院内寛解[#Headers],0)),0)+IFERROR(INDEX(阻害要因×在院期間区分＿寛解・院内寛解[#All],MATCH($AI62,阻害要因×在院期間区分＿寛解・院内寛解[[#All],[値]],0),MATCH($AM$4,阻害要因×在院期間区分＿寛解・院内寛解[#Headers],0)),0)</f>
        <v>21</v>
      </c>
      <c r="D61" s="73">
        <f t="shared" si="7"/>
        <v>9.6330275229357804E-2</v>
      </c>
      <c r="E61" s="70">
        <f>IFERROR(INDEX(阻害要因×在院期間区分＿寛解・院内寛解[#All],MATCH($AI62,阻害要因×在院期間区分＿寛解・院内寛解[[#All],[値]],0),MATCH($AN$4,阻害要因×在院期間区分＿寛解・院内寛解[#Headers],0)),0)+IFERROR(INDEX(阻害要因×在院期間区分＿寛解・院内寛解[#All],MATCH($AI62,阻害要因×在院期間区分＿寛解・院内寛解[[#All],[値]],0),MATCH($AO$4,阻害要因×在院期間区分＿寛解・院内寛解[#Headers],0)),0)+IFERROR(INDEX(阻害要因×在院期間区分＿寛解・院内寛解[#All],MATCH($AI62,阻害要因×在院期間区分＿寛解・院内寛解[[#All],[値]],0),MATCH($AP$4,阻害要因×在院期間区分＿寛解・院内寛解[#Headers],0)),0)+IFERROR(INDEX(阻害要因×在院期間区分＿寛解・院内寛解[#All],MATCH($AI62,阻害要因×在院期間区分＿寛解・院内寛解[[#All],[値]],0),MATCH($AQ$4,阻害要因×在院期間区分＿寛解・院内寛解[#Headers],0)),0)+IFERROR(INDEX(阻害要因×在院期間区分＿寛解・院内寛解[#All],MATCH($AI62,阻害要因×在院期間区分＿寛解・院内寛解[[#All],[値]],0),MATCH($AR$4,阻害要因×在院期間区分＿寛解・院内寛解[#Headers],0)),0)</f>
        <v>24</v>
      </c>
      <c r="F61" s="73">
        <f t="shared" si="8"/>
        <v>0.12</v>
      </c>
      <c r="G61" s="70">
        <f>IFERROR(INDEX(阻害要因×在院期間区分＿寛解・院内寛解[#All],MATCH($AI62,阻害要因×在院期間区分＿寛解・院内寛解[[#All],[値]],0),MATCH($AS$4,阻害要因×在院期間区分＿寛解・院内寛解[#Headers],0)),0)+IFERROR(INDEX(阻害要因×在院期間区分＿寛解・院内寛解[#All],MATCH($AI62,阻害要因×在院期間区分＿寛解・院内寛解[[#All],[値]],0),MATCH($AT$4,阻害要因×在院期間区分＿寛解・院内寛解[#Headers],0)),0)+IFERROR(INDEX(阻害要因×在院期間区分＿寛解・院内寛解[#All],MATCH($AI62,阻害要因×在院期間区分＿寛解・院内寛解[[#All],[値]],0),MATCH($AU$4,阻害要因×在院期間区分＿寛解・院内寛解[#Headers],0)),0)+IFERROR(INDEX(阻害要因×在院期間区分＿寛解・院内寛解[#All],MATCH($AI62,阻害要因×在院期間区分＿寛解・院内寛解[[#All],[値]],0),MATCH($AV$4,阻害要因×在院期間区分＿寛解・院内寛解[#Headers],0)),0)+IFERROR(INDEX(阻害要因×在院期間区分＿寛解・院内寛解[#All],MATCH($AI62,阻害要因×在院期間区分＿寛解・院内寛解[[#All],[値]],0),MATCH($AW$4,阻害要因×在院期間区分＿寛解・院内寛解[#Headers],0)),0)</f>
        <v>8</v>
      </c>
      <c r="H61" s="73">
        <f t="shared" si="9"/>
        <v>0.10256410256410256</v>
      </c>
      <c r="I61" s="70">
        <f>IFERROR(INDEX(阻害要因×在院期間区分＿寛解・院内寛解[#All],MATCH($AI62,阻害要因×在院期間区分＿寛解・院内寛解[[#All],[値]],0),MATCH($AX$4,阻害要因×在院期間区分＿寛解・院内寛解[#Headers],0)),0)+IFERROR(INDEX(阻害要因×在院期間区分＿寛解・院内寛解[#All],MATCH($AI62,阻害要因×在院期間区分＿寛解・院内寛解[[#All],[値]],0),MATCH($AY$4,阻害要因×在院期間区分＿寛解・院内寛解[#Headers],0)),0)</f>
        <v>10</v>
      </c>
      <c r="J61" s="73">
        <f t="shared" si="10"/>
        <v>0.12987012987012986</v>
      </c>
      <c r="K61" s="39">
        <f t="shared" si="11"/>
        <v>12</v>
      </c>
      <c r="L61" s="56" t="s">
        <v>179</v>
      </c>
      <c r="M61" s="66">
        <v>3</v>
      </c>
      <c r="N61" s="66">
        <v>8</v>
      </c>
      <c r="O61" s="66">
        <v>8</v>
      </c>
      <c r="P61" s="66">
        <v>2</v>
      </c>
      <c r="Q61" s="66">
        <v>4</v>
      </c>
      <c r="R61" s="66">
        <v>7</v>
      </c>
      <c r="S61" s="66">
        <v>8</v>
      </c>
      <c r="T61" s="66">
        <v>5</v>
      </c>
      <c r="U61" s="66">
        <v>0</v>
      </c>
      <c r="V61" s="66">
        <v>3</v>
      </c>
      <c r="W61" s="66">
        <v>2</v>
      </c>
      <c r="X61" s="66">
        <v>0</v>
      </c>
      <c r="Y61" s="66">
        <v>2</v>
      </c>
      <c r="Z61" s="66">
        <v>1</v>
      </c>
      <c r="AA61" s="66">
        <v>8</v>
      </c>
      <c r="AB61" s="66">
        <v>2</v>
      </c>
      <c r="AI61" s="411" t="s">
        <v>178</v>
      </c>
    </row>
    <row r="62" spans="2:35" ht="21" customHeight="1" x14ac:dyDescent="0.15">
      <c r="B62" s="105" t="s">
        <v>247</v>
      </c>
      <c r="C62" s="112">
        <f>IFERROR(INDEX(阻害要因×在院期間区分＿寛解・院内寛解[#All],MATCH($AI63,阻害要因×在院期間区分＿寛解・院内寛解[[#All],[値]],0),MATCH($AJ$4,阻害要因×在院期間区分＿寛解・院内寛解[#Headers],0)),0)+IFERROR(INDEX(阻害要因×在院期間区分＿寛解・院内寛解[#All],MATCH($AI63,阻害要因×在院期間区分＿寛解・院内寛解[[#All],[値]],0),MATCH($AK$4,阻害要因×在院期間区分＿寛解・院内寛解[#Headers],0)),0)+IFERROR(INDEX(阻害要因×在院期間区分＿寛解・院内寛解[#All],MATCH($AI63,阻害要因×在院期間区分＿寛解・院内寛解[[#All],[値]],0),MATCH($AL$4,阻害要因×在院期間区分＿寛解・院内寛解[#Headers],0)),0)+IFERROR(INDEX(阻害要因×在院期間区分＿寛解・院内寛解[#All],MATCH($AI63,阻害要因×在院期間区分＿寛解・院内寛解[[#All],[値]],0),MATCH($AM$4,阻害要因×在院期間区分＿寛解・院内寛解[#Headers],0)),0)</f>
        <v>4</v>
      </c>
      <c r="D62" s="73">
        <f t="shared" si="7"/>
        <v>1.834862385321101E-2</v>
      </c>
      <c r="E62" s="70">
        <f>IFERROR(INDEX(阻害要因×在院期間区分＿寛解・院内寛解[#All],MATCH($AI63,阻害要因×在院期間区分＿寛解・院内寛解[[#All],[値]],0),MATCH($AN$4,阻害要因×在院期間区分＿寛解・院内寛解[#Headers],0)),0)+IFERROR(INDEX(阻害要因×在院期間区分＿寛解・院内寛解[#All],MATCH($AI63,阻害要因×在院期間区分＿寛解・院内寛解[[#All],[値]],0),MATCH($AO$4,阻害要因×在院期間区分＿寛解・院内寛解[#Headers],0)),0)+IFERROR(INDEX(阻害要因×在院期間区分＿寛解・院内寛解[#All],MATCH($AI63,阻害要因×在院期間区分＿寛解・院内寛解[[#All],[値]],0),MATCH($AP$4,阻害要因×在院期間区分＿寛解・院内寛解[#Headers],0)),0)+IFERROR(INDEX(阻害要因×在院期間区分＿寛解・院内寛解[#All],MATCH($AI63,阻害要因×在院期間区分＿寛解・院内寛解[[#All],[値]],0),MATCH($AQ$4,阻害要因×在院期間区分＿寛解・院内寛解[#Headers],0)),0)+IFERROR(INDEX(阻害要因×在院期間区分＿寛解・院内寛解[#All],MATCH($AI63,阻害要因×在院期間区分＿寛解・院内寛解[[#All],[値]],0),MATCH($AR$4,阻害要因×在院期間区分＿寛解・院内寛解[#Headers],0)),0)</f>
        <v>6</v>
      </c>
      <c r="F62" s="73">
        <f t="shared" si="8"/>
        <v>0.03</v>
      </c>
      <c r="G62" s="70">
        <f>IFERROR(INDEX(阻害要因×在院期間区分＿寛解・院内寛解[#All],MATCH($AI63,阻害要因×在院期間区分＿寛解・院内寛解[[#All],[値]],0),MATCH($AS$4,阻害要因×在院期間区分＿寛解・院内寛解[#Headers],0)),0)+IFERROR(INDEX(阻害要因×在院期間区分＿寛解・院内寛解[#All],MATCH($AI63,阻害要因×在院期間区分＿寛解・院内寛解[[#All],[値]],0),MATCH($AT$4,阻害要因×在院期間区分＿寛解・院内寛解[#Headers],0)),0)+IFERROR(INDEX(阻害要因×在院期間区分＿寛解・院内寛解[#All],MATCH($AI63,阻害要因×在院期間区分＿寛解・院内寛解[[#All],[値]],0),MATCH($AU$4,阻害要因×在院期間区分＿寛解・院内寛解[#Headers],0)),0)+IFERROR(INDEX(阻害要因×在院期間区分＿寛解・院内寛解[#All],MATCH($AI63,阻害要因×在院期間区分＿寛解・院内寛解[[#All],[値]],0),MATCH($AV$4,阻害要因×在院期間区分＿寛解・院内寛解[#Headers],0)),0)+IFERROR(INDEX(阻害要因×在院期間区分＿寛解・院内寛解[#All],MATCH($AI63,阻害要因×在院期間区分＿寛解・院内寛解[[#All],[値]],0),MATCH($AW$4,阻害要因×在院期間区分＿寛解・院内寛解[#Headers],0)),0)</f>
        <v>2</v>
      </c>
      <c r="H62" s="73">
        <f t="shared" si="9"/>
        <v>2.564102564102564E-2</v>
      </c>
      <c r="I62" s="70">
        <f>IFERROR(INDEX(阻害要因×在院期間区分＿寛解・院内寛解[#All],MATCH($AI63,阻害要因×在院期間区分＿寛解・院内寛解[[#All],[値]],0),MATCH($AX$4,阻害要因×在院期間区分＿寛解・院内寛解[#Headers],0)),0)+IFERROR(INDEX(阻害要因×在院期間区分＿寛解・院内寛解[#All],MATCH($AI63,阻害要因×在院期間区分＿寛解・院内寛解[[#All],[値]],0),MATCH($AY$4,阻害要因×在院期間区分＿寛解・院内寛解[#Headers],0)),0)</f>
        <v>0</v>
      </c>
      <c r="J62" s="73">
        <f t="shared" si="10"/>
        <v>0</v>
      </c>
      <c r="K62" s="39">
        <f t="shared" si="11"/>
        <v>38</v>
      </c>
      <c r="L62" s="56" t="s">
        <v>180</v>
      </c>
      <c r="M62" s="66">
        <v>1</v>
      </c>
      <c r="N62" s="66">
        <v>0</v>
      </c>
      <c r="O62" s="66">
        <v>2</v>
      </c>
      <c r="P62" s="66">
        <v>1</v>
      </c>
      <c r="Q62" s="66">
        <v>1</v>
      </c>
      <c r="R62" s="66">
        <v>3</v>
      </c>
      <c r="S62" s="66">
        <v>1</v>
      </c>
      <c r="T62" s="66">
        <v>1</v>
      </c>
      <c r="U62" s="66">
        <v>0</v>
      </c>
      <c r="V62" s="66">
        <v>0</v>
      </c>
      <c r="W62" s="66">
        <v>0</v>
      </c>
      <c r="X62" s="66">
        <v>0</v>
      </c>
      <c r="Y62" s="66">
        <v>0</v>
      </c>
      <c r="Z62" s="66">
        <v>2</v>
      </c>
      <c r="AA62" s="66">
        <v>0</v>
      </c>
      <c r="AB62" s="66">
        <v>0</v>
      </c>
      <c r="AI62" s="411" t="s">
        <v>179</v>
      </c>
    </row>
    <row r="63" spans="2:35" ht="21" customHeight="1" x14ac:dyDescent="0.15">
      <c r="B63" s="107" t="s">
        <v>53</v>
      </c>
      <c r="C63" s="128">
        <f>IFERROR(INDEX(阻害要因×在院期間区分＿寛解・院内寛解[#All],MATCH($AI64,阻害要因×在院期間区分＿寛解・院内寛解[[#All],[値]],0),MATCH($AJ$4,阻害要因×在院期間区分＿寛解・院内寛解[#Headers],0)),0)+IFERROR(INDEX(阻害要因×在院期間区分＿寛解・院内寛解[#All],MATCH($AI64,阻害要因×在院期間区分＿寛解・院内寛解[[#All],[値]],0),MATCH($AK$4,阻害要因×在院期間区分＿寛解・院内寛解[#Headers],0)),0)+IFERROR(INDEX(阻害要因×在院期間区分＿寛解・院内寛解[#All],MATCH($AI64,阻害要因×在院期間区分＿寛解・院内寛解[[#All],[値]],0),MATCH($AL$4,阻害要因×在院期間区分＿寛解・院内寛解[#Headers],0)),0)+IFERROR(INDEX(阻害要因×在院期間区分＿寛解・院内寛解[#All],MATCH($AI64,阻害要因×在院期間区分＿寛解・院内寛解[[#All],[値]],0),MATCH($AM$4,阻害要因×在院期間区分＿寛解・院内寛解[#Headers],0)),0)</f>
        <v>17</v>
      </c>
      <c r="D63" s="77">
        <f t="shared" si="7"/>
        <v>7.7981651376146793E-2</v>
      </c>
      <c r="E63" s="124">
        <f>IFERROR(INDEX(阻害要因×在院期間区分＿寛解・院内寛解[#All],MATCH($AI64,阻害要因×在院期間区分＿寛解・院内寛解[[#All],[値]],0),MATCH($AN$4,阻害要因×在院期間区分＿寛解・院内寛解[#Headers],0)),0)+IFERROR(INDEX(阻害要因×在院期間区分＿寛解・院内寛解[#All],MATCH($AI64,阻害要因×在院期間区分＿寛解・院内寛解[[#All],[値]],0),MATCH($AO$4,阻害要因×在院期間区分＿寛解・院内寛解[#Headers],0)),0)+IFERROR(INDEX(阻害要因×在院期間区分＿寛解・院内寛解[#All],MATCH($AI64,阻害要因×在院期間区分＿寛解・院内寛解[[#All],[値]],0),MATCH($AP$4,阻害要因×在院期間区分＿寛解・院内寛解[#Headers],0)),0)+IFERROR(INDEX(阻害要因×在院期間区分＿寛解・院内寛解[#All],MATCH($AI64,阻害要因×在院期間区分＿寛解・院内寛解[[#All],[値]],0),MATCH($AQ$4,阻害要因×在院期間区分＿寛解・院内寛解[#Headers],0)),0)+IFERROR(INDEX(阻害要因×在院期間区分＿寛解・院内寛解[#All],MATCH($AI64,阻害要因×在院期間区分＿寛解・院内寛解[[#All],[値]],0),MATCH($AR$4,阻害要因×在院期間区分＿寛解・院内寛解[#Headers],0)),0)</f>
        <v>13</v>
      </c>
      <c r="F63" s="77">
        <f t="shared" si="8"/>
        <v>6.5000000000000002E-2</v>
      </c>
      <c r="G63" s="74">
        <f>IFERROR(INDEX(阻害要因×在院期間区分＿寛解・院内寛解[#All],MATCH($AI64,阻害要因×在院期間区分＿寛解・院内寛解[[#All],[値]],0),MATCH($AS$4,阻害要因×在院期間区分＿寛解・院内寛解[#Headers],0)),0)+IFERROR(INDEX(阻害要因×在院期間区分＿寛解・院内寛解[#All],MATCH($AI64,阻害要因×在院期間区分＿寛解・院内寛解[[#All],[値]],0),MATCH($AT$4,阻害要因×在院期間区分＿寛解・院内寛解[#Headers],0)),0)+IFERROR(INDEX(阻害要因×在院期間区分＿寛解・院内寛解[#All],MATCH($AI64,阻害要因×在院期間区分＿寛解・院内寛解[[#All],[値]],0),MATCH($AU$4,阻害要因×在院期間区分＿寛解・院内寛解[#Headers],0)),0)+IFERROR(INDEX(阻害要因×在院期間区分＿寛解・院内寛解[#All],MATCH($AI64,阻害要因×在院期間区分＿寛解・院内寛解[[#All],[値]],0),MATCH($AV$4,阻害要因×在院期間区分＿寛解・院内寛解[#Headers],0)),0)+IFERROR(INDEX(阻害要因×在院期間区分＿寛解・院内寛解[#All],MATCH($AI64,阻害要因×在院期間区分＿寛解・院内寛解[[#All],[値]],0),MATCH($AW$4,阻害要因×在院期間区分＿寛解・院内寛解[#Headers],0)),0)</f>
        <v>5</v>
      </c>
      <c r="H63" s="77">
        <f t="shared" si="9"/>
        <v>6.4102564102564097E-2</v>
      </c>
      <c r="I63" s="124">
        <f>IFERROR(INDEX(阻害要因×在院期間区分＿寛解・院内寛解[#All],MATCH($AI64,阻害要因×在院期間区分＿寛解・院内寛解[[#All],[値]],0),MATCH($AX$4,阻害要因×在院期間区分＿寛解・院内寛解[#Headers],0)),0)+IFERROR(INDEX(阻害要因×在院期間区分＿寛解・院内寛解[#All],MATCH($AI64,阻害要因×在院期間区分＿寛解・院内寛解[[#All],[値]],0),MATCH($AY$4,阻害要因×在院期間区分＿寛解・院内寛解[#Headers],0)),0)</f>
        <v>3</v>
      </c>
      <c r="J63" s="77">
        <f t="shared" si="10"/>
        <v>3.896103896103896E-2</v>
      </c>
      <c r="L63" s="56" t="s">
        <v>181</v>
      </c>
      <c r="M63" s="66">
        <v>3</v>
      </c>
      <c r="N63" s="66">
        <v>6</v>
      </c>
      <c r="O63" s="66">
        <v>5</v>
      </c>
      <c r="P63" s="66">
        <v>3</v>
      </c>
      <c r="Q63" s="66">
        <v>2</v>
      </c>
      <c r="R63" s="66">
        <v>1</v>
      </c>
      <c r="S63" s="66">
        <v>4</v>
      </c>
      <c r="T63" s="66">
        <v>4</v>
      </c>
      <c r="U63" s="66">
        <v>2</v>
      </c>
      <c r="V63" s="66">
        <v>1</v>
      </c>
      <c r="W63" s="66">
        <v>2</v>
      </c>
      <c r="X63" s="66">
        <v>0</v>
      </c>
      <c r="Y63" s="66">
        <v>1</v>
      </c>
      <c r="Z63" s="66">
        <v>1</v>
      </c>
      <c r="AA63" s="66">
        <v>2</v>
      </c>
      <c r="AB63" s="66">
        <v>1</v>
      </c>
      <c r="AI63" s="411" t="s">
        <v>180</v>
      </c>
    </row>
    <row r="64" spans="2:35" x14ac:dyDescent="0.15">
      <c r="C64" s="20"/>
      <c r="D64" s="20"/>
      <c r="E64" s="20"/>
      <c r="F64" s="67"/>
      <c r="I64" s="20"/>
      <c r="J64" s="129"/>
      <c r="L64" s="54"/>
      <c r="AI64" s="411" t="s">
        <v>181</v>
      </c>
    </row>
    <row r="65" spans="6:12" x14ac:dyDescent="0.15">
      <c r="F65" s="67"/>
      <c r="J65" s="67"/>
      <c r="L65" s="54"/>
    </row>
    <row r="66" spans="6:12" x14ac:dyDescent="0.15">
      <c r="F66" s="67"/>
      <c r="J66" s="67"/>
      <c r="L66" s="54"/>
    </row>
    <row r="67" spans="6:12" x14ac:dyDescent="0.15">
      <c r="F67" s="67"/>
      <c r="J67" s="67"/>
    </row>
    <row r="68" spans="6:12" x14ac:dyDescent="0.15">
      <c r="F68" s="67"/>
      <c r="J68" s="67"/>
    </row>
    <row r="69" spans="6:12" x14ac:dyDescent="0.15">
      <c r="F69" s="67"/>
      <c r="J69" s="67"/>
    </row>
  </sheetData>
  <mergeCells count="18">
    <mergeCell ref="B2:B3"/>
    <mergeCell ref="C2:J2"/>
    <mergeCell ref="C3:D3"/>
    <mergeCell ref="E3:F3"/>
    <mergeCell ref="B34:B35"/>
    <mergeCell ref="G3:H3"/>
    <mergeCell ref="I3:J3"/>
    <mergeCell ref="G35:H35"/>
    <mergeCell ref="I35:J35"/>
    <mergeCell ref="C34:J34"/>
    <mergeCell ref="C35:D35"/>
    <mergeCell ref="E35:F35"/>
    <mergeCell ref="C9:J9"/>
    <mergeCell ref="C12:J12"/>
    <mergeCell ref="B13:J13"/>
    <mergeCell ref="B45:J45"/>
    <mergeCell ref="C44:J44"/>
    <mergeCell ref="C41:J41"/>
  </mergeCells>
  <phoneticPr fontId="2"/>
  <printOptions horizontalCentered="1"/>
  <pageMargins left="0.70866141732283472" right="0.70866141732283472" top="0.74803149606299213" bottom="0.74803149606299213" header="0.31496062992125984" footer="0.31496062992125984"/>
  <pageSetup paperSize="9" scale="61" orientation="portrait" r:id="rId1"/>
  <ignoredErrors>
    <ignoredError sqref="B4:J6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578" r:id="rId4" name="Button 2">
              <controlPr defaultSize="0" print="0" autoFill="0" autoPict="0" macro="[0]!データ削除19">
                <anchor moveWithCells="1" sizeWithCells="1">
                  <from>
                    <xdr:col>28</xdr:col>
                    <xdr:colOff>409575</xdr:colOff>
                    <xdr:row>3</xdr:row>
                    <xdr:rowOff>57150</xdr:rowOff>
                  </from>
                  <to>
                    <xdr:col>31</xdr:col>
                    <xdr:colOff>142875</xdr:colOff>
                    <xdr:row>4</xdr:row>
                    <xdr:rowOff>57150</xdr:rowOff>
                  </to>
                </anchor>
              </controlPr>
            </control>
          </mc:Choice>
        </mc:AlternateContent>
      </controls>
    </mc:Choice>
  </mc:AlternateContent>
  <tableParts count="6">
    <tablePart r:id="rId5"/>
    <tablePart r:id="rId6"/>
    <tablePart r:id="rId7"/>
    <tablePart r:id="rId8"/>
    <tablePart r:id="rId9"/>
    <tablePart r:id="rId10"/>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rgb="FFFF0000"/>
  </sheetPr>
  <dimension ref="B1:AZ67"/>
  <sheetViews>
    <sheetView showGridLines="0" topLeftCell="A23" zoomScale="77" zoomScaleNormal="77" zoomScaleSheetLayoutView="75" zoomScalePageLayoutView="80" workbookViewId="0">
      <selection activeCell="I38" sqref="I38"/>
    </sheetView>
  </sheetViews>
  <sheetFormatPr defaultRowHeight="18.75" x14ac:dyDescent="0.15"/>
  <cols>
    <col min="1" max="1" width="3" style="1" customWidth="1"/>
    <col min="2" max="2" width="38.75" style="1" customWidth="1"/>
    <col min="3" max="10" width="9.375" style="1" customWidth="1"/>
    <col min="11" max="11" width="9" style="1" hidden="1" customWidth="1"/>
    <col min="12" max="12" width="22.125" style="1" hidden="1" customWidth="1"/>
    <col min="13" max="29" width="11.375" style="1" hidden="1" customWidth="1"/>
    <col min="30" max="32" width="9.875" style="1" hidden="1" customWidth="1"/>
    <col min="33" max="33" width="9" style="1" hidden="1" customWidth="1"/>
    <col min="34" max="34" width="9" style="1" customWidth="1"/>
    <col min="35" max="35" width="9" style="1" hidden="1" customWidth="1"/>
    <col min="36" max="52" width="9" style="1" customWidth="1"/>
    <col min="53" max="16384" width="9" style="1"/>
  </cols>
  <sheetData>
    <row r="1" spans="2:52" ht="19.5" customHeight="1" x14ac:dyDescent="0.15">
      <c r="B1" s="2" t="s">
        <v>80</v>
      </c>
    </row>
    <row r="2" spans="2:52" ht="18.75" customHeight="1" x14ac:dyDescent="0.15">
      <c r="B2" s="675" t="s">
        <v>240</v>
      </c>
      <c r="C2" s="695" t="s">
        <v>81</v>
      </c>
      <c r="D2" s="696"/>
      <c r="E2" s="696"/>
      <c r="F2" s="696"/>
      <c r="G2" s="696"/>
      <c r="H2" s="696"/>
      <c r="I2" s="696"/>
      <c r="J2" s="697"/>
      <c r="L2" s="56" t="s">
        <v>63</v>
      </c>
    </row>
    <row r="3" spans="2:52" ht="18.75" customHeight="1" thickBot="1" x14ac:dyDescent="0.2">
      <c r="B3" s="676"/>
      <c r="C3" s="695" t="s">
        <v>268</v>
      </c>
      <c r="D3" s="696"/>
      <c r="E3" s="696"/>
      <c r="F3" s="697"/>
      <c r="G3" s="707" t="s">
        <v>73</v>
      </c>
      <c r="H3" s="708"/>
      <c r="I3" s="707" t="s">
        <v>76</v>
      </c>
      <c r="J3" s="708"/>
    </row>
    <row r="4" spans="2:52" ht="56.25" customHeight="1" thickTop="1" thickBot="1" x14ac:dyDescent="0.2">
      <c r="B4" s="694"/>
      <c r="C4" s="705" t="s">
        <v>198</v>
      </c>
      <c r="D4" s="706"/>
      <c r="E4" s="705" t="s">
        <v>199</v>
      </c>
      <c r="F4" s="706"/>
      <c r="G4" s="709"/>
      <c r="H4" s="710"/>
      <c r="I4" s="709"/>
      <c r="J4" s="710"/>
      <c r="L4" s="502" t="s">
        <v>370</v>
      </c>
      <c r="M4" s="87" t="s">
        <v>295</v>
      </c>
      <c r="N4" s="87" t="s">
        <v>284</v>
      </c>
      <c r="O4" s="87" t="s">
        <v>285</v>
      </c>
      <c r="P4" s="87" t="s">
        <v>286</v>
      </c>
      <c r="Q4" s="87" t="s">
        <v>200</v>
      </c>
      <c r="R4" s="87" t="s">
        <v>201</v>
      </c>
      <c r="S4" s="87" t="s">
        <v>287</v>
      </c>
      <c r="T4" s="87" t="s">
        <v>288</v>
      </c>
      <c r="U4" s="87" t="s">
        <v>289</v>
      </c>
      <c r="V4" s="87" t="s">
        <v>290</v>
      </c>
      <c r="W4" s="87" t="s">
        <v>291</v>
      </c>
      <c r="X4" s="87" t="s">
        <v>296</v>
      </c>
      <c r="Y4" s="87" t="s">
        <v>292</v>
      </c>
      <c r="Z4" s="87" t="s">
        <v>293</v>
      </c>
      <c r="AA4" s="87" t="s">
        <v>297</v>
      </c>
      <c r="AB4" s="87" t="s">
        <v>18</v>
      </c>
      <c r="AC4" s="87" t="s">
        <v>294</v>
      </c>
      <c r="AD4" s="87" t="s">
        <v>589</v>
      </c>
      <c r="AE4" s="87" t="s">
        <v>590</v>
      </c>
      <c r="AJ4" s="87" t="s">
        <v>295</v>
      </c>
      <c r="AK4" s="87" t="s">
        <v>284</v>
      </c>
      <c r="AL4" s="87" t="s">
        <v>285</v>
      </c>
      <c r="AM4" s="87" t="s">
        <v>286</v>
      </c>
      <c r="AN4" s="87" t="s">
        <v>200</v>
      </c>
      <c r="AO4" s="87" t="s">
        <v>201</v>
      </c>
      <c r="AP4" s="87" t="s">
        <v>287</v>
      </c>
      <c r="AQ4" s="87" t="s">
        <v>288</v>
      </c>
      <c r="AR4" s="87" t="s">
        <v>289</v>
      </c>
      <c r="AS4" s="87" t="s">
        <v>290</v>
      </c>
      <c r="AT4" s="87" t="s">
        <v>291</v>
      </c>
      <c r="AU4" s="87" t="s">
        <v>296</v>
      </c>
      <c r="AV4" s="87" t="s">
        <v>292</v>
      </c>
      <c r="AW4" s="87" t="s">
        <v>293</v>
      </c>
      <c r="AX4" s="87" t="s">
        <v>297</v>
      </c>
      <c r="AY4" s="87" t="s">
        <v>294</v>
      </c>
      <c r="AZ4" s="87" t="s">
        <v>18</v>
      </c>
    </row>
    <row r="5" spans="2:52" ht="37.5" customHeight="1" thickTop="1" x14ac:dyDescent="0.15">
      <c r="B5" s="88" t="s">
        <v>231</v>
      </c>
      <c r="C5" s="89">
        <f>IFERROR(INDEX(退院予定有無×疾患名[#All],MATCH($AI5,退院予定有無×疾患名[[#All],[行ラベル]],0),MATCH($AJ$4,退院予定有無×疾患名[#Headers],0)),0)+IFERROR(INDEX(退院予定有無×疾患名[#All],MATCH($AI5,退院予定有無×疾患名[[#All],[行ラベル]],0),MATCH($AK$4,退院予定有無×疾患名[#Headers],0)),0)</f>
        <v>225</v>
      </c>
      <c r="D5" s="90">
        <f>IFERROR(C5/C$8,"-")</f>
        <v>9.3594009983361065E-2</v>
      </c>
      <c r="E5" s="89">
        <f>IFERROR(INDEX(退院予定有無×疾患名[#All],MATCH($AI5,退院予定有無×疾患名[[#All],[行ラベル]],0),MATCH($AL$4,退院予定有無×疾患名[#Headers],0)),0)</f>
        <v>210</v>
      </c>
      <c r="F5" s="90">
        <f>IFERROR(E5/E$8,"-")</f>
        <v>0.11081794195250659</v>
      </c>
      <c r="G5" s="89">
        <f>IFERROR(INDEX(退院予定有無×疾患名[#All],MATCH($AI5,退院予定有無×疾患名[[#All],[行ラベル]],0),MATCH($AP$4,退院予定有無×疾患名[#Headers],0)),0)</f>
        <v>1194</v>
      </c>
      <c r="H5" s="90">
        <f>IFERROR(G5/G$8,"-")</f>
        <v>0.15739520168731874</v>
      </c>
      <c r="I5" s="89">
        <f>IFERROR(INDEX(退院予定有無×疾患名[#All],MATCH($AI5,退院予定有無×疾患名[[#All],[行ラベル]],0),MATCH($AQ$4,退院予定有無×疾患名[#Headers],0)),0)+IFERROR(INDEX(退院予定有無×疾患名[#All],MATCH($AI5,退院予定有無×疾患名[[#All],[行ラベル]],0),MATCH($AR$4,退院予定有無×疾患名[#Headers],0)),0)</f>
        <v>258</v>
      </c>
      <c r="J5" s="90">
        <f>IFERROR(I5/I$8,"-")</f>
        <v>0.16873773708306083</v>
      </c>
      <c r="K5" s="39">
        <f>C5+E5+G5+I5</f>
        <v>1887</v>
      </c>
      <c r="L5" s="34">
        <v>98</v>
      </c>
      <c r="M5" s="60">
        <v>1669</v>
      </c>
      <c r="N5" s="60">
        <v>277</v>
      </c>
      <c r="O5" s="66">
        <v>1476</v>
      </c>
      <c r="P5" s="60">
        <v>421</v>
      </c>
      <c r="Q5" s="60">
        <v>33</v>
      </c>
      <c r="R5" s="60">
        <v>47</v>
      </c>
      <c r="S5" s="60">
        <v>5805</v>
      </c>
      <c r="T5" s="60">
        <v>515</v>
      </c>
      <c r="U5" s="60">
        <v>437</v>
      </c>
      <c r="V5" s="60">
        <v>132</v>
      </c>
      <c r="W5" s="60">
        <v>31</v>
      </c>
      <c r="X5" s="60">
        <v>30</v>
      </c>
      <c r="Y5" s="60">
        <v>212</v>
      </c>
      <c r="Z5" s="60">
        <v>78</v>
      </c>
      <c r="AA5" s="60">
        <v>20</v>
      </c>
      <c r="AB5" s="60">
        <v>76</v>
      </c>
      <c r="AC5" s="60">
        <v>48</v>
      </c>
      <c r="AD5" s="598">
        <v>13</v>
      </c>
      <c r="AE5" s="598">
        <v>1</v>
      </c>
      <c r="AI5" s="412">
        <v>97</v>
      </c>
    </row>
    <row r="6" spans="2:52" ht="18.75" customHeight="1" x14ac:dyDescent="0.15">
      <c r="B6" s="91" t="s">
        <v>241</v>
      </c>
      <c r="C6" s="70">
        <f>IFERROR(INDEX(退院予定有無×疾患名[#All],MATCH($AI6,退院予定有無×疾患名[[#All],[行ラベル]],0),MATCH($AJ$4,退院予定有無×疾患名[#Headers],0)),0)+IFERROR(INDEX(退院予定有無×疾患名[#All],MATCH($AI6,退院予定有無×疾患名[[#All],[行ラベル]],0),MATCH($AK$4,退院予定有無×疾患名[#Headers],0)),0)</f>
        <v>1946</v>
      </c>
      <c r="D6" s="69">
        <f>IFERROR(C6/C$8,"-")</f>
        <v>0.8094841930116472</v>
      </c>
      <c r="E6" s="70">
        <f>IFERROR(INDEX(退院予定有無×疾患名[#All],MATCH($AI6,退院予定有無×疾患名[[#All],[行ラベル]],0),MATCH($AL$4,退院予定有無×疾患名[#Headers],0)),0)</f>
        <v>1476</v>
      </c>
      <c r="F6" s="69">
        <f>IFERROR(E6/E$8,"-")</f>
        <v>0.7788918205804749</v>
      </c>
      <c r="G6" s="70">
        <f>IFERROR(INDEX(退院予定有無×疾患名[#All],MATCH($AI6,退院予定有無×疾患名[[#All],[行ラベル]],0),MATCH($AP$4,退院予定有無×疾患名[#Headers],0)),0)</f>
        <v>5805</v>
      </c>
      <c r="H6" s="69">
        <f>IFERROR(G6/G$8,"-")</f>
        <v>0.76522541523859744</v>
      </c>
      <c r="I6" s="70">
        <f>IFERROR(INDEX(退院予定有無×疾患名[#All],MATCH($AI6,退院予定有無×疾患名[[#All],[行ラベル]],0),MATCH($AQ$4,退院予定有無×疾患名[#Headers],0)),0)+IFERROR(INDEX(退院予定有無×疾患名[#All],MATCH($AI6,退院予定有無×疾患名[[#All],[行ラベル]],0),MATCH($AR$4,退院予定有無×疾患名[#Headers],0)),0)</f>
        <v>952</v>
      </c>
      <c r="J6" s="69">
        <f>IFERROR(I6/I$8,"-")</f>
        <v>0.62262916939175927</v>
      </c>
      <c r="K6" s="39">
        <f>C6+E6+G6+I6</f>
        <v>10179</v>
      </c>
      <c r="L6" s="34">
        <v>97</v>
      </c>
      <c r="M6" s="60">
        <v>194</v>
      </c>
      <c r="N6" s="60">
        <v>31</v>
      </c>
      <c r="O6" s="66">
        <v>210</v>
      </c>
      <c r="P6" s="60">
        <v>120</v>
      </c>
      <c r="Q6" s="60">
        <v>11</v>
      </c>
      <c r="R6" s="60">
        <v>16</v>
      </c>
      <c r="S6" s="60">
        <v>1194</v>
      </c>
      <c r="T6" s="60">
        <v>136</v>
      </c>
      <c r="U6" s="60">
        <v>122</v>
      </c>
      <c r="V6" s="60">
        <v>48</v>
      </c>
      <c r="W6" s="60">
        <v>4</v>
      </c>
      <c r="X6" s="60">
        <v>11</v>
      </c>
      <c r="Y6" s="60">
        <v>31</v>
      </c>
      <c r="Z6" s="60">
        <v>17</v>
      </c>
      <c r="AA6" s="60">
        <v>12</v>
      </c>
      <c r="AB6" s="60">
        <v>17</v>
      </c>
      <c r="AC6" s="60">
        <v>2</v>
      </c>
      <c r="AD6" s="60">
        <v>11</v>
      </c>
      <c r="AE6" s="60"/>
      <c r="AI6" s="412">
        <v>98</v>
      </c>
    </row>
    <row r="7" spans="2:52" ht="18.75" customHeight="1" x14ac:dyDescent="0.15">
      <c r="B7" s="92" t="s">
        <v>36</v>
      </c>
      <c r="C7" s="70">
        <f>IFERROR(INDEX(退院予定有無×疾患名[#All],MATCH($AI7,退院予定有無×疾患名[[#All],[行ラベル]],0),MATCH($AJ$4,退院予定有無×疾患名[#Headers],0)),0)+IFERROR(INDEX(退院予定有無×疾患名[#All],MATCH($AI7,退院予定有無×疾患名[[#All],[行ラベル]],0),MATCH($AK$4,退院予定有無×疾患名[#Headers],0)),0)</f>
        <v>233</v>
      </c>
      <c r="D7" s="69">
        <f>IFERROR(C7/C$8,"-")</f>
        <v>9.6921797004991678E-2</v>
      </c>
      <c r="E7" s="70">
        <f>IFERROR(INDEX(退院予定有無×疾患名[#All],MATCH($AI7,退院予定有無×疾患名[[#All],[行ラベル]],0),MATCH($AL$4,退院予定有無×疾患名[#Headers],0)),0)</f>
        <v>209</v>
      </c>
      <c r="F7" s="82">
        <f>IFERROR(E7/E$8,"-")</f>
        <v>0.11029023746701846</v>
      </c>
      <c r="G7" s="72">
        <f>IFERROR(INDEX(退院予定有無×疾患名[#All],MATCH($AI7,退院予定有無×疾患名[[#All],[行ラベル]],0),MATCH($AP$4,退院予定有無×疾患名[#Headers],0)),0)</f>
        <v>587</v>
      </c>
      <c r="H7" s="82">
        <f>IFERROR(G7/G$8,"-")</f>
        <v>7.7379383074083832E-2</v>
      </c>
      <c r="I7" s="72">
        <f>IFERROR(INDEX(退院予定有無×疾患名[#All],MATCH($AI7,退院予定有無×疾患名[[#All],[行ラベル]],0),MATCH($AQ$4,退院予定有無×疾患名[#Headers],0)),0)+IFERROR(INDEX(退院予定有無×疾患名[#All],MATCH($AI7,退院予定有無×疾患名[[#All],[行ラベル]],0),MATCH($AR$4,退院予定有無×疾患名[#Headers],0)),0)</f>
        <v>319</v>
      </c>
      <c r="J7" s="82">
        <f>IFERROR(I7/I$8,"-")</f>
        <v>0.20863309352517986</v>
      </c>
      <c r="K7" s="39">
        <f>C7+E7+G7+I7</f>
        <v>1348</v>
      </c>
      <c r="L7" s="34">
        <v>99</v>
      </c>
      <c r="M7" s="60">
        <v>205</v>
      </c>
      <c r="N7" s="60">
        <v>28</v>
      </c>
      <c r="O7" s="66">
        <v>209</v>
      </c>
      <c r="P7" s="60">
        <v>155</v>
      </c>
      <c r="Q7" s="60">
        <v>10</v>
      </c>
      <c r="R7" s="60">
        <v>17</v>
      </c>
      <c r="S7" s="60">
        <v>587</v>
      </c>
      <c r="T7" s="60">
        <v>148</v>
      </c>
      <c r="U7" s="60">
        <v>171</v>
      </c>
      <c r="V7" s="60">
        <v>68</v>
      </c>
      <c r="W7" s="60">
        <v>14</v>
      </c>
      <c r="X7" s="60">
        <v>9</v>
      </c>
      <c r="Y7" s="60">
        <v>38</v>
      </c>
      <c r="Z7" s="60">
        <v>29</v>
      </c>
      <c r="AA7" s="60">
        <v>8</v>
      </c>
      <c r="AB7" s="60">
        <v>18</v>
      </c>
      <c r="AC7" s="60">
        <v>8</v>
      </c>
      <c r="AD7" s="599">
        <v>23</v>
      </c>
      <c r="AE7" s="599"/>
      <c r="AI7" s="412">
        <v>99</v>
      </c>
    </row>
    <row r="8" spans="2:52" ht="18.75" customHeight="1" x14ac:dyDescent="0.15">
      <c r="B8" s="93" t="s">
        <v>161</v>
      </c>
      <c r="C8" s="94">
        <f t="shared" ref="C8:J8" si="0">SUM(C5:C7)</f>
        <v>2404</v>
      </c>
      <c r="D8" s="95">
        <f t="shared" si="0"/>
        <v>1</v>
      </c>
      <c r="E8" s="96">
        <f t="shared" si="0"/>
        <v>1895</v>
      </c>
      <c r="F8" s="95">
        <f t="shared" si="0"/>
        <v>1</v>
      </c>
      <c r="G8" s="96">
        <f t="shared" si="0"/>
        <v>7586</v>
      </c>
      <c r="H8" s="95">
        <f t="shared" si="0"/>
        <v>1</v>
      </c>
      <c r="I8" s="96">
        <f t="shared" si="0"/>
        <v>1529</v>
      </c>
      <c r="J8" s="95">
        <f t="shared" si="0"/>
        <v>1</v>
      </c>
      <c r="K8" s="39">
        <f>C8+E8+G8+I8</f>
        <v>13414</v>
      </c>
      <c r="L8" s="34"/>
      <c r="M8" s="43"/>
      <c r="N8" s="43"/>
      <c r="O8" s="43"/>
      <c r="P8" s="43"/>
      <c r="Q8" s="43"/>
      <c r="R8" s="43"/>
      <c r="S8" s="43"/>
      <c r="T8" s="43"/>
      <c r="U8" s="43"/>
      <c r="V8" s="43"/>
      <c r="W8" s="43"/>
      <c r="X8" s="43"/>
      <c r="Y8" s="43"/>
      <c r="Z8" s="43"/>
      <c r="AA8" s="43"/>
      <c r="AB8" s="43"/>
      <c r="AI8" s="412"/>
    </row>
    <row r="9" spans="2:52" ht="18.75" customHeight="1" thickBot="1" x14ac:dyDescent="0.2">
      <c r="B9" s="97"/>
      <c r="C9" s="98"/>
      <c r="D9" s="99"/>
      <c r="E9" s="100"/>
      <c r="F9" s="99"/>
      <c r="G9" s="100"/>
      <c r="H9" s="99"/>
      <c r="I9" s="100"/>
      <c r="J9" s="99"/>
      <c r="K9" s="39"/>
      <c r="L9" s="34"/>
      <c r="M9" s="43"/>
      <c r="N9" s="43"/>
      <c r="O9" s="43"/>
      <c r="P9" s="43"/>
      <c r="Q9" s="43"/>
      <c r="R9" s="43"/>
      <c r="S9" s="43"/>
      <c r="T9" s="43"/>
      <c r="U9" s="43"/>
      <c r="V9" s="43"/>
      <c r="W9" s="43"/>
      <c r="X9" s="43"/>
      <c r="Y9" s="43"/>
      <c r="Z9" s="43"/>
      <c r="AA9" s="43"/>
      <c r="AB9" s="43"/>
      <c r="AI9" s="412"/>
    </row>
    <row r="10" spans="2:52" s="413" customFormat="1" ht="18.75" customHeight="1" thickTop="1" thickBot="1" x14ac:dyDescent="0.2">
      <c r="B10" s="470" t="s">
        <v>242</v>
      </c>
      <c r="C10" s="702"/>
      <c r="D10" s="703"/>
      <c r="E10" s="703"/>
      <c r="F10" s="703"/>
      <c r="G10" s="703"/>
      <c r="H10" s="703"/>
      <c r="I10" s="703"/>
      <c r="J10" s="704"/>
      <c r="K10" s="414"/>
      <c r="L10" s="502" t="s">
        <v>370</v>
      </c>
      <c r="M10" s="87" t="s">
        <v>295</v>
      </c>
      <c r="N10" s="87" t="s">
        <v>284</v>
      </c>
      <c r="O10" s="87" t="s">
        <v>285</v>
      </c>
      <c r="P10" s="87" t="s">
        <v>286</v>
      </c>
      <c r="Q10" s="87" t="s">
        <v>287</v>
      </c>
      <c r="R10" s="87" t="s">
        <v>288</v>
      </c>
      <c r="S10" s="87" t="s">
        <v>289</v>
      </c>
      <c r="T10" s="87" t="s">
        <v>290</v>
      </c>
      <c r="U10" s="87" t="s">
        <v>291</v>
      </c>
      <c r="V10" s="87" t="s">
        <v>296</v>
      </c>
      <c r="W10" s="87" t="s">
        <v>292</v>
      </c>
      <c r="X10" s="87" t="s">
        <v>293</v>
      </c>
      <c r="Y10" s="87" t="s">
        <v>297</v>
      </c>
      <c r="Z10" s="87" t="s">
        <v>200</v>
      </c>
      <c r="AA10" s="87" t="s">
        <v>18</v>
      </c>
      <c r="AB10" s="87" t="s">
        <v>294</v>
      </c>
      <c r="AC10" s="87" t="s">
        <v>201</v>
      </c>
      <c r="AD10" s="87" t="s">
        <v>589</v>
      </c>
      <c r="AE10" s="87" t="s">
        <v>590</v>
      </c>
      <c r="AI10" s="415"/>
    </row>
    <row r="11" spans="2:52" ht="18.75" customHeight="1" thickTop="1" x14ac:dyDescent="0.15">
      <c r="B11" s="102" t="s">
        <v>34</v>
      </c>
      <c r="C11" s="89">
        <f>IFERROR(INDEX(阻害要因有無×疾患名[#All],MATCH($AI11,阻害要因有無×疾患名[[#All],[行ラベル]],0),MATCH($AJ$4,阻害要因有無×疾患名[#Headers],0)),0)+IFERROR(INDEX(阻害要因有無×疾患名[#All],MATCH($AI11,阻害要因有無×疾患名[[#All],[行ラベル]],0),MATCH($AK$4,阻害要因有無×疾患名[#Headers],0)),0)</f>
        <v>202</v>
      </c>
      <c r="D11" s="90">
        <f>IFERROR(C11/C$5,"-")</f>
        <v>0.89777777777777779</v>
      </c>
      <c r="E11" s="89">
        <f>IFERROR(INDEX(阻害要因有無×疾患名[#All],MATCH($AI11,阻害要因有無×疾患名[[#All],[行ラベル]],0),MATCH($AL$4,阻害要因有無×疾患名[#Headers],0)),0)</f>
        <v>196</v>
      </c>
      <c r="F11" s="90">
        <f>IFERROR(E11/E$5,"-")</f>
        <v>0.93333333333333335</v>
      </c>
      <c r="G11" s="89">
        <f>IFERROR(INDEX(阻害要因有無×疾患名[#All],MATCH($AI11,阻害要因有無×疾患名[[#All],[行ラベル]],0),MATCH($AP$4,阻害要因有無×疾患名[#Headers],0)),0)</f>
        <v>1099</v>
      </c>
      <c r="H11" s="90">
        <f>IFERROR(G11/G$5,"-")</f>
        <v>0.9204355108877722</v>
      </c>
      <c r="I11" s="89">
        <f>IFERROR(INDEX(阻害要因有無×疾患名[#All],MATCH($AI11,阻害要因有無×疾患名[[#All],[行ラベル]],0),MATCH($AQ$4,阻害要因有無×疾患名[#Headers],0)),0)+IFERROR(INDEX(阻害要因有無×疾患名[#All],MATCH($AI11,阻害要因有無×疾患名[[#All],[行ラベル]],0),MATCH($AR$4,阻害要因有無×疾患名[#Headers],0)),0)</f>
        <v>217</v>
      </c>
      <c r="J11" s="90">
        <f>IFERROR(I11/I$5,"-")</f>
        <v>0.84108527131782951</v>
      </c>
      <c r="K11" s="39">
        <f>C11+E11+G11+I11</f>
        <v>1714</v>
      </c>
      <c r="L11" s="34">
        <v>91</v>
      </c>
      <c r="M11" s="60">
        <v>172</v>
      </c>
      <c r="N11" s="60">
        <v>30</v>
      </c>
      <c r="O11" s="66">
        <v>196</v>
      </c>
      <c r="P11" s="60">
        <v>107</v>
      </c>
      <c r="Q11" s="60">
        <v>1099</v>
      </c>
      <c r="R11" s="60">
        <v>115</v>
      </c>
      <c r="S11" s="60">
        <v>102</v>
      </c>
      <c r="T11" s="60">
        <v>39</v>
      </c>
      <c r="U11" s="60">
        <v>3</v>
      </c>
      <c r="V11" s="60">
        <v>8</v>
      </c>
      <c r="W11" s="60">
        <v>25</v>
      </c>
      <c r="X11" s="60">
        <v>14</v>
      </c>
      <c r="Y11" s="60">
        <v>10</v>
      </c>
      <c r="Z11" s="60">
        <v>10</v>
      </c>
      <c r="AA11" s="60">
        <v>17</v>
      </c>
      <c r="AB11" s="60">
        <v>2</v>
      </c>
      <c r="AC11" s="60">
        <v>10</v>
      </c>
      <c r="AD11" s="598">
        <v>10</v>
      </c>
      <c r="AE11" s="598"/>
      <c r="AI11" s="412">
        <v>91</v>
      </c>
    </row>
    <row r="12" spans="2:52" ht="18.75" customHeight="1" x14ac:dyDescent="0.15">
      <c r="B12" s="92" t="s">
        <v>35</v>
      </c>
      <c r="C12" s="70">
        <f>IFERROR(INDEX(阻害要因有無×疾患名[#All],MATCH($AI12,阻害要因有無×疾患名[[#All],[行ラベル]],0),MATCH($AJ$4,阻害要因有無×疾患名[#Headers],0)),0)+IFERROR(INDEX(阻害要因有無×疾患名[#All],MATCH($AI12,阻害要因有無×疾患名[[#All],[行ラベル]],0),MATCH($AK$4,阻害要因有無×疾患名[#Headers],0)),0)</f>
        <v>23</v>
      </c>
      <c r="D12" s="69">
        <f>IFERROR(C12/C$5,"-")</f>
        <v>0.10222222222222223</v>
      </c>
      <c r="E12" s="70">
        <f>IFERROR(INDEX(阻害要因有無×疾患名[#All],MATCH($AI12,阻害要因有無×疾患名[[#All],[行ラベル]],0),MATCH($AL$4,阻害要因有無×疾患名[#Headers],0)),0)</f>
        <v>14</v>
      </c>
      <c r="F12" s="69">
        <f>IFERROR(E12/E$5,"-")</f>
        <v>6.6666666666666666E-2</v>
      </c>
      <c r="G12" s="70">
        <f>IFERROR(INDEX(阻害要因有無×疾患名[#All],MATCH($AI12,阻害要因有無×疾患名[[#All],[行ラベル]],0),MATCH($AP$4,阻害要因有無×疾患名[#Headers],0)),0)</f>
        <v>95</v>
      </c>
      <c r="H12" s="69">
        <f>IFERROR(G12/G$5,"-")</f>
        <v>7.9564489112227813E-2</v>
      </c>
      <c r="I12" s="70">
        <f>IFERROR(INDEX(阻害要因有無×疾患名[#All],MATCH($AI12,阻害要因有無×疾患名[[#All],[行ラベル]],0),MATCH($AQ$4,阻害要因有無×疾患名[#Headers],0)),0)+IFERROR(INDEX(阻害要因有無×疾患名[#All],MATCH($AI12,阻害要因有無×疾患名[[#All],[行ラベル]],0),MATCH($AR$4,阻害要因有無×疾患名[#Headers],0)),0)</f>
        <v>41</v>
      </c>
      <c r="J12" s="69">
        <f>IFERROR(I12/I$5,"-")</f>
        <v>0.15891472868217055</v>
      </c>
      <c r="K12" s="39">
        <f>C12+E12+G12+I12</f>
        <v>173</v>
      </c>
      <c r="L12" s="34">
        <v>90</v>
      </c>
      <c r="M12" s="60">
        <v>22</v>
      </c>
      <c r="N12" s="60">
        <v>1</v>
      </c>
      <c r="O12" s="66">
        <v>14</v>
      </c>
      <c r="P12" s="60">
        <v>13</v>
      </c>
      <c r="Q12" s="60">
        <v>95</v>
      </c>
      <c r="R12" s="60">
        <v>21</v>
      </c>
      <c r="S12" s="60">
        <v>20</v>
      </c>
      <c r="T12" s="60">
        <v>9</v>
      </c>
      <c r="U12" s="60">
        <v>1</v>
      </c>
      <c r="V12" s="60">
        <v>3</v>
      </c>
      <c r="W12" s="60">
        <v>6</v>
      </c>
      <c r="X12" s="60">
        <v>3</v>
      </c>
      <c r="Y12" s="60">
        <v>2</v>
      </c>
      <c r="Z12" s="60">
        <v>1</v>
      </c>
      <c r="AA12" s="60"/>
      <c r="AB12" s="60"/>
      <c r="AC12" s="60">
        <v>6</v>
      </c>
      <c r="AD12" s="599">
        <v>1</v>
      </c>
      <c r="AE12" s="599"/>
      <c r="AI12" s="412">
        <v>90</v>
      </c>
    </row>
    <row r="13" spans="2:52" ht="19.5" customHeight="1" thickBot="1" x14ac:dyDescent="0.2">
      <c r="B13" s="103" t="s">
        <v>264</v>
      </c>
      <c r="C13" s="688"/>
      <c r="D13" s="689"/>
      <c r="E13" s="689"/>
      <c r="F13" s="689"/>
      <c r="G13" s="689"/>
      <c r="H13" s="689"/>
      <c r="I13" s="689"/>
      <c r="J13" s="690"/>
      <c r="K13" s="39"/>
    </row>
    <row r="14" spans="2:52" ht="19.5" customHeight="1" thickTop="1" thickBot="1" x14ac:dyDescent="0.2">
      <c r="B14" s="691" t="s">
        <v>274</v>
      </c>
      <c r="C14" s="692"/>
      <c r="D14" s="692"/>
      <c r="E14" s="692"/>
      <c r="F14" s="692"/>
      <c r="G14" s="692"/>
      <c r="H14" s="692"/>
      <c r="I14" s="692"/>
      <c r="J14" s="693"/>
      <c r="K14" s="39">
        <f t="shared" ref="K14:K31" si="1">C15+E15+G15+I15</f>
        <v>653</v>
      </c>
      <c r="L14" s="502" t="s">
        <v>585</v>
      </c>
      <c r="M14" s="87" t="s">
        <v>295</v>
      </c>
      <c r="N14" s="87" t="s">
        <v>284</v>
      </c>
      <c r="O14" s="87" t="s">
        <v>285</v>
      </c>
      <c r="P14" s="87" t="s">
        <v>286</v>
      </c>
      <c r="Q14" s="87" t="s">
        <v>200</v>
      </c>
      <c r="R14" s="87" t="s">
        <v>201</v>
      </c>
      <c r="S14" s="87" t="s">
        <v>287</v>
      </c>
      <c r="T14" s="87" t="s">
        <v>288</v>
      </c>
      <c r="U14" s="87" t="s">
        <v>289</v>
      </c>
      <c r="V14" s="87" t="s">
        <v>290</v>
      </c>
      <c r="W14" s="87" t="s">
        <v>291</v>
      </c>
      <c r="X14" s="87" t="s">
        <v>296</v>
      </c>
      <c r="Y14" s="87" t="s">
        <v>292</v>
      </c>
      <c r="Z14" s="87" t="s">
        <v>293</v>
      </c>
      <c r="AA14" s="87" t="s">
        <v>297</v>
      </c>
      <c r="AB14" s="87" t="s">
        <v>18</v>
      </c>
      <c r="AC14" s="87" t="s">
        <v>294</v>
      </c>
      <c r="AD14" s="54" t="s">
        <v>586</v>
      </c>
      <c r="AE14" s="54" t="s">
        <v>587</v>
      </c>
    </row>
    <row r="15" spans="2:52" ht="37.5" customHeight="1" thickTop="1" x14ac:dyDescent="0.15">
      <c r="B15" s="104" t="s">
        <v>235</v>
      </c>
      <c r="C15" s="63">
        <f>IFERROR(INDEX(阻害要因×疾患名[#All],MATCH($AI15,阻害要因×疾患名[[#All],[値]],0),MATCH($AJ$4,阻害要因×疾患名[#Headers],0)),0)+IFERROR(INDEX(阻害要因×疾患名[#All],MATCH($AI15,阻害要因×疾患名[[#All],[値]],0),MATCH($AK$4,阻害要因×疾患名[#Headers],0)),0)</f>
        <v>59</v>
      </c>
      <c r="D15" s="64">
        <f t="shared" ref="D15:D32" si="2">IFERROR(C15/C$11,"-")</f>
        <v>0.29207920792079206</v>
      </c>
      <c r="E15" s="65">
        <f>IFERROR(INDEX(阻害要因×疾患名[#All],MATCH($AI15,阻害要因×疾患名[[#All],[値]],0),MATCH($AL$4,阻害要因×疾患名[#Headers],0)),0)</f>
        <v>64</v>
      </c>
      <c r="F15" s="64">
        <f t="shared" ref="F15:F32" si="3">IFERROR(E15/E$11,"-")</f>
        <v>0.32653061224489793</v>
      </c>
      <c r="G15" s="65">
        <f>IFERROR(INDEX(阻害要因×疾患名[#All],MATCH($AI15,阻害要因×疾患名[[#All],[値]],0),MATCH($AP$4,阻害要因×疾患名[#Headers],0)),0)</f>
        <v>448</v>
      </c>
      <c r="H15" s="64">
        <f t="shared" ref="H15:H32" si="4">IFERROR(G15/G$11,"-")</f>
        <v>0.40764331210191085</v>
      </c>
      <c r="I15" s="65">
        <f>IFERROR(INDEX(阻害要因×疾患名[#All],MATCH($AI15,阻害要因×疾患名[[#All],[値]],0),MATCH($AQ$4,阻害要因×疾患名[#Headers],0)),0)+IFERROR(INDEX(阻害要因×疾患名[#All],MATCH($AI15,阻害要因×疾患名[[#All],[値]],0),MATCH($AR$4,阻害要因×疾患名[#Headers],0)),0)</f>
        <v>82</v>
      </c>
      <c r="J15" s="64">
        <f t="shared" ref="J15:J32" si="5">IFERROR(I15/I$11,"-")</f>
        <v>0.37788018433179721</v>
      </c>
      <c r="K15" s="39">
        <f t="shared" si="1"/>
        <v>505</v>
      </c>
      <c r="L15" s="34" t="s">
        <v>309</v>
      </c>
      <c r="M15" s="60">
        <v>54</v>
      </c>
      <c r="N15" s="66">
        <v>5</v>
      </c>
      <c r="O15" s="66">
        <v>64</v>
      </c>
      <c r="P15" s="60">
        <v>31</v>
      </c>
      <c r="Q15" s="60">
        <v>4</v>
      </c>
      <c r="R15" s="60">
        <v>4</v>
      </c>
      <c r="S15" s="60">
        <v>448</v>
      </c>
      <c r="T15" s="60">
        <v>46</v>
      </c>
      <c r="U15" s="60">
        <v>36</v>
      </c>
      <c r="V15" s="60">
        <v>10</v>
      </c>
      <c r="W15" s="60">
        <v>0</v>
      </c>
      <c r="X15" s="60">
        <v>5</v>
      </c>
      <c r="Y15" s="60">
        <v>7</v>
      </c>
      <c r="Z15" s="60">
        <v>4</v>
      </c>
      <c r="AA15" s="60">
        <v>6</v>
      </c>
      <c r="AB15" s="60">
        <v>7</v>
      </c>
      <c r="AC15" s="60">
        <v>1</v>
      </c>
      <c r="AD15" s="598"/>
      <c r="AE15" s="598"/>
      <c r="AI15" s="56" t="s">
        <v>309</v>
      </c>
    </row>
    <row r="16" spans="2:52" ht="18.75" customHeight="1" x14ac:dyDescent="0.15">
      <c r="B16" s="105" t="s">
        <v>66</v>
      </c>
      <c r="C16" s="68">
        <f>IFERROR(INDEX(阻害要因×疾患名[#All],MATCH($AI16,阻害要因×疾患名[[#All],[値]],0),MATCH($AJ$4,阻害要因×疾患名[#Headers],0)),0)+IFERROR(INDEX(阻害要因×疾患名[#All],MATCH($AI16,阻害要因×疾患名[[#All],[値]],0),MATCH($AK$4,阻害要因×疾患名[#Headers],0)),0)</f>
        <v>49</v>
      </c>
      <c r="D16" s="73">
        <f t="shared" si="2"/>
        <v>0.24257425742574257</v>
      </c>
      <c r="E16" s="71">
        <f>IFERROR(INDEX(阻害要因×疾患名[#All],MATCH($AI16,阻害要因×疾患名[[#All],[値]],0),MATCH($AL$4,阻害要因×疾患名[#Headers],0)),0)</f>
        <v>41</v>
      </c>
      <c r="F16" s="73">
        <f t="shared" si="3"/>
        <v>0.20918367346938777</v>
      </c>
      <c r="G16" s="70">
        <f>IFERROR(INDEX(阻害要因×疾患名[#All],MATCH($AI16,阻害要因×疾患名[[#All],[値]],0),MATCH($AP$4,阻害要因×疾患名[#Headers],0)),0)</f>
        <v>383</v>
      </c>
      <c r="H16" s="73">
        <f t="shared" si="4"/>
        <v>0.34849863512283896</v>
      </c>
      <c r="I16" s="70">
        <f>IFERROR(INDEX(阻害要因×疾患名[#All],MATCH($AI16,阻害要因×疾患名[[#All],[値]],0),MATCH($AQ$4,阻害要因×疾患名[#Headers],0)),0)+IFERROR(INDEX(阻害要因×疾患名[#All],MATCH($AI16,阻害要因×疾患名[[#All],[値]],0),MATCH($AR$4,阻害要因×疾患名[#Headers],0)),0)</f>
        <v>32</v>
      </c>
      <c r="J16" s="73">
        <f t="shared" si="5"/>
        <v>0.14746543778801843</v>
      </c>
      <c r="K16" s="39">
        <f t="shared" si="1"/>
        <v>92</v>
      </c>
      <c r="L16" s="56" t="s">
        <v>310</v>
      </c>
      <c r="M16" s="66">
        <v>43</v>
      </c>
      <c r="N16" s="66">
        <v>6</v>
      </c>
      <c r="O16" s="66">
        <v>41</v>
      </c>
      <c r="P16" s="60">
        <v>39</v>
      </c>
      <c r="Q16" s="60">
        <v>2</v>
      </c>
      <c r="R16" s="60">
        <v>4</v>
      </c>
      <c r="S16" s="60">
        <v>383</v>
      </c>
      <c r="T16" s="60">
        <v>17</v>
      </c>
      <c r="U16" s="60">
        <v>15</v>
      </c>
      <c r="V16" s="60">
        <v>6</v>
      </c>
      <c r="W16" s="60">
        <v>0</v>
      </c>
      <c r="X16" s="60">
        <v>4</v>
      </c>
      <c r="Y16" s="60">
        <v>4</v>
      </c>
      <c r="Z16" s="60">
        <v>4</v>
      </c>
      <c r="AA16" s="60">
        <v>1</v>
      </c>
      <c r="AB16" s="60">
        <v>2</v>
      </c>
      <c r="AC16" s="60">
        <v>1</v>
      </c>
      <c r="AD16" s="60"/>
      <c r="AE16" s="60"/>
      <c r="AI16" s="56" t="s">
        <v>310</v>
      </c>
    </row>
    <row r="17" spans="2:35" ht="18.75" customHeight="1" x14ac:dyDescent="0.15">
      <c r="B17" s="105" t="s">
        <v>38</v>
      </c>
      <c r="C17" s="68">
        <f>IFERROR(INDEX(阻害要因×疾患名[#All],MATCH($AI17,阻害要因×疾患名[[#All],[値]],0),MATCH($AJ$4,阻害要因×疾患名[#Headers],0)),0)+IFERROR(INDEX(阻害要因×疾患名[#All],MATCH($AI17,阻害要因×疾患名[[#All],[値]],0),MATCH($AK$4,阻害要因×疾患名[#Headers],0)),0)</f>
        <v>8</v>
      </c>
      <c r="D17" s="73">
        <f t="shared" si="2"/>
        <v>3.9603960396039604E-2</v>
      </c>
      <c r="E17" s="70">
        <f>IFERROR(INDEX(阻害要因×疾患名[#All],MATCH($AI17,阻害要因×疾患名[[#All],[値]],0),MATCH($AL$4,阻害要因×疾患名[#Headers],0)),0)</f>
        <v>9</v>
      </c>
      <c r="F17" s="73">
        <f t="shared" si="3"/>
        <v>4.5918367346938778E-2</v>
      </c>
      <c r="G17" s="70">
        <f>IFERROR(INDEX(阻害要因×疾患名[#All],MATCH($AI17,阻害要因×疾患名[[#All],[値]],0),MATCH($AP$4,阻害要因×疾患名[#Headers],0)),0)</f>
        <v>68</v>
      </c>
      <c r="H17" s="73">
        <f t="shared" si="4"/>
        <v>6.1874431301182892E-2</v>
      </c>
      <c r="I17" s="70">
        <f>IFERROR(INDEX(阻害要因×疾患名[#All],MATCH($AI17,阻害要因×疾患名[[#All],[値]],0),MATCH($AQ$4,阻害要因×疾患名[#Headers],0)),0)+IFERROR(INDEX(阻害要因×疾患名[#All],MATCH($AI17,阻害要因×疾患名[[#All],[値]],0),MATCH($AR$4,阻害要因×疾患名[#Headers],0)),0)</f>
        <v>7</v>
      </c>
      <c r="J17" s="73">
        <f t="shared" si="5"/>
        <v>3.2258064516129031E-2</v>
      </c>
      <c r="K17" s="39">
        <f t="shared" si="1"/>
        <v>662</v>
      </c>
      <c r="L17" s="56" t="s">
        <v>166</v>
      </c>
      <c r="M17" s="66">
        <v>7</v>
      </c>
      <c r="N17" s="66">
        <v>1</v>
      </c>
      <c r="O17" s="66">
        <v>9</v>
      </c>
      <c r="P17" s="60">
        <v>7</v>
      </c>
      <c r="Q17" s="60">
        <v>0</v>
      </c>
      <c r="R17" s="60">
        <v>4</v>
      </c>
      <c r="S17" s="60">
        <v>68</v>
      </c>
      <c r="T17" s="60">
        <v>4</v>
      </c>
      <c r="U17" s="60">
        <v>3</v>
      </c>
      <c r="V17" s="60">
        <v>2</v>
      </c>
      <c r="W17" s="60">
        <v>0</v>
      </c>
      <c r="X17" s="60">
        <v>1</v>
      </c>
      <c r="Y17" s="60">
        <v>6</v>
      </c>
      <c r="Z17" s="60">
        <v>2</v>
      </c>
      <c r="AA17" s="60">
        <v>2</v>
      </c>
      <c r="AB17" s="60">
        <v>1</v>
      </c>
      <c r="AC17" s="60">
        <v>0</v>
      </c>
      <c r="AD17" s="60"/>
      <c r="AE17" s="60"/>
      <c r="AI17" s="56" t="s">
        <v>166</v>
      </c>
    </row>
    <row r="18" spans="2:35" ht="18.75" customHeight="1" x14ac:dyDescent="0.15">
      <c r="B18" s="105" t="s">
        <v>39</v>
      </c>
      <c r="C18" s="70">
        <f>IFERROR(INDEX(阻害要因×疾患名[#All],MATCH($AI18,阻害要因×疾患名[[#All],[値]],0),MATCH($AJ$4,阻害要因×疾患名[#Headers],0)),0)+IFERROR(INDEX(阻害要因×疾患名[#All],MATCH($AI18,阻害要因×疾患名[[#All],[値]],0),MATCH($AK$4,阻害要因×疾患名[#Headers],0)),0)</f>
        <v>58</v>
      </c>
      <c r="D18" s="69">
        <f t="shared" si="2"/>
        <v>0.28712871287128711</v>
      </c>
      <c r="E18" s="70">
        <f>IFERROR(INDEX(阻害要因×疾患名[#All],MATCH($AI18,阻害要因×疾患名[[#All],[値]],0),MATCH($AL$4,阻害要因×疾患名[#Headers],0)),0)</f>
        <v>52</v>
      </c>
      <c r="F18" s="69">
        <f t="shared" si="3"/>
        <v>0.26530612244897961</v>
      </c>
      <c r="G18" s="70">
        <f>IFERROR(INDEX(阻害要因×疾患名[#All],MATCH($AI18,阻害要因×疾患名[[#All],[値]],0),MATCH($AP$4,阻害要因×疾患名[#Headers],0)),0)</f>
        <v>460</v>
      </c>
      <c r="H18" s="69">
        <f t="shared" si="4"/>
        <v>0.41856232939035487</v>
      </c>
      <c r="I18" s="70">
        <f>IFERROR(INDEX(阻害要因×疾患名[#All],MATCH($AI18,阻害要因×疾患名[[#All],[値]],0),MATCH($AQ$4,阻害要因×疾患名[#Headers],0)),0)+IFERROR(INDEX(阻害要因×疾患名[#All],MATCH($AI18,阻害要因×疾患名[[#All],[値]],0),MATCH($AR$4,阻害要因×疾患名[#Headers],0)),0)</f>
        <v>92</v>
      </c>
      <c r="J18" s="69">
        <f t="shared" si="5"/>
        <v>0.42396313364055299</v>
      </c>
      <c r="K18" s="39">
        <f t="shared" si="1"/>
        <v>741</v>
      </c>
      <c r="L18" s="56" t="s">
        <v>167</v>
      </c>
      <c r="M18" s="66">
        <v>49</v>
      </c>
      <c r="N18" s="66">
        <v>9</v>
      </c>
      <c r="O18" s="66">
        <v>52</v>
      </c>
      <c r="P18" s="60">
        <v>29</v>
      </c>
      <c r="Q18" s="60">
        <v>5</v>
      </c>
      <c r="R18" s="60">
        <v>2</v>
      </c>
      <c r="S18" s="60">
        <v>460</v>
      </c>
      <c r="T18" s="60">
        <v>39</v>
      </c>
      <c r="U18" s="60">
        <v>53</v>
      </c>
      <c r="V18" s="60">
        <v>9</v>
      </c>
      <c r="W18" s="60">
        <v>1</v>
      </c>
      <c r="X18" s="60">
        <v>2</v>
      </c>
      <c r="Y18" s="60">
        <v>6</v>
      </c>
      <c r="Z18" s="60">
        <v>4</v>
      </c>
      <c r="AA18" s="60">
        <v>1</v>
      </c>
      <c r="AB18" s="60">
        <v>5</v>
      </c>
      <c r="AC18" s="60">
        <v>1</v>
      </c>
      <c r="AD18" s="60"/>
      <c r="AE18" s="60"/>
      <c r="AI18" s="56" t="s">
        <v>167</v>
      </c>
    </row>
    <row r="19" spans="2:35" ht="18.75" customHeight="1" x14ac:dyDescent="0.15">
      <c r="B19" s="105" t="s">
        <v>40</v>
      </c>
      <c r="C19" s="70">
        <f>IFERROR(INDEX(阻害要因×疾患名[#All],MATCH($AI19,阻害要因×疾患名[[#All],[値]],0),MATCH($AJ$4,阻害要因×疾患名[#Headers],0)),0)+IFERROR(INDEX(阻害要因×疾患名[#All],MATCH($AI19,阻害要因×疾患名[[#All],[値]],0),MATCH($AK$4,阻害要因×疾患名[#Headers],0)),0)</f>
        <v>107</v>
      </c>
      <c r="D19" s="69">
        <f t="shared" si="2"/>
        <v>0.52970297029702973</v>
      </c>
      <c r="E19" s="70">
        <f>IFERROR(INDEX(阻害要因×疾患名[#All],MATCH($AI19,阻害要因×疾患名[[#All],[値]],0),MATCH($AL$4,阻害要因×疾患名[#Headers],0)),0)</f>
        <v>74</v>
      </c>
      <c r="F19" s="69">
        <f t="shared" si="3"/>
        <v>0.37755102040816324</v>
      </c>
      <c r="G19" s="70">
        <f>IFERROR(INDEX(阻害要因×疾患名[#All],MATCH($AI19,阻害要因×疾患名[[#All],[値]],0),MATCH($AP$4,阻害要因×疾患名[#Headers],0)),0)</f>
        <v>515</v>
      </c>
      <c r="H19" s="69">
        <f t="shared" si="4"/>
        <v>0.46860782529572337</v>
      </c>
      <c r="I19" s="70">
        <f>IFERROR(INDEX(阻害要因×疾患名[#All],MATCH($AI19,阻害要因×疾患名[[#All],[値]],0),MATCH($AQ$4,阻害要因×疾患名[#Headers],0)),0)+IFERROR(INDEX(阻害要因×疾患名[#All],MATCH($AI19,阻害要因×疾患名[[#All],[値]],0),MATCH($AR$4,阻害要因×疾患名[#Headers],0)),0)</f>
        <v>45</v>
      </c>
      <c r="J19" s="69">
        <f t="shared" si="5"/>
        <v>0.20737327188940091</v>
      </c>
      <c r="K19" s="39">
        <f t="shared" si="1"/>
        <v>539</v>
      </c>
      <c r="L19" s="56" t="s">
        <v>168</v>
      </c>
      <c r="M19" s="66">
        <v>94</v>
      </c>
      <c r="N19" s="66">
        <v>13</v>
      </c>
      <c r="O19" s="66">
        <v>74</v>
      </c>
      <c r="P19" s="60">
        <v>54</v>
      </c>
      <c r="Q19" s="60">
        <v>4</v>
      </c>
      <c r="R19" s="60">
        <v>4</v>
      </c>
      <c r="S19" s="60">
        <v>515</v>
      </c>
      <c r="T19" s="60">
        <v>19</v>
      </c>
      <c r="U19" s="60">
        <v>26</v>
      </c>
      <c r="V19" s="60">
        <v>7</v>
      </c>
      <c r="W19" s="60">
        <v>0</v>
      </c>
      <c r="X19" s="60">
        <v>2</v>
      </c>
      <c r="Y19" s="60">
        <v>13</v>
      </c>
      <c r="Z19" s="60">
        <v>8</v>
      </c>
      <c r="AA19" s="60">
        <v>3</v>
      </c>
      <c r="AB19" s="60">
        <v>4</v>
      </c>
      <c r="AC19" s="60">
        <v>0</v>
      </c>
      <c r="AD19" s="60"/>
      <c r="AE19" s="60"/>
      <c r="AI19" s="56" t="s">
        <v>168</v>
      </c>
    </row>
    <row r="20" spans="2:35" ht="18.75" customHeight="1" x14ac:dyDescent="0.15">
      <c r="B20" s="105" t="s">
        <v>41</v>
      </c>
      <c r="C20" s="72">
        <f>IFERROR(INDEX(阻害要因×疾患名[#All],MATCH($AI20,阻害要因×疾患名[[#All],[値]],0),MATCH($AJ$4,阻害要因×疾患名[#Headers],0)),0)+IFERROR(INDEX(阻害要因×疾患名[#All],MATCH($AI20,阻害要因×疾患名[[#All],[値]],0),MATCH($AK$4,阻害要因×疾患名[#Headers],0)),0)</f>
        <v>51</v>
      </c>
      <c r="D20" s="82">
        <f t="shared" si="2"/>
        <v>0.25247524752475248</v>
      </c>
      <c r="E20" s="72">
        <f>IFERROR(INDEX(阻害要因×疾患名[#All],MATCH($AI20,阻害要因×疾患名[[#All],[値]],0),MATCH($AL$4,阻害要因×疾患名[#Headers],0)),0)</f>
        <v>46</v>
      </c>
      <c r="F20" s="82">
        <f t="shared" si="3"/>
        <v>0.23469387755102042</v>
      </c>
      <c r="G20" s="72">
        <f>IFERROR(INDEX(阻害要因×疾患名[#All],MATCH($AI20,阻害要因×疾患名[[#All],[値]],0),MATCH($AP$4,阻害要因×疾患名[#Headers],0)),0)</f>
        <v>360</v>
      </c>
      <c r="H20" s="82">
        <f t="shared" si="4"/>
        <v>0.32757051865332121</v>
      </c>
      <c r="I20" s="72">
        <f>IFERROR(INDEX(阻害要因×疾患名[#All],MATCH($AI20,阻害要因×疾患名[[#All],[値]],0),MATCH($AQ$4,阻害要因×疾患名[#Headers],0)),0)+IFERROR(INDEX(阻害要因×疾患名[#All],MATCH($AI20,阻害要因×疾患名[[#All],[値]],0),MATCH($AR$4,阻害要因×疾患名[#Headers],0)),0)</f>
        <v>82</v>
      </c>
      <c r="J20" s="82">
        <f t="shared" si="5"/>
        <v>0.37788018433179721</v>
      </c>
      <c r="K20" s="39">
        <f t="shared" si="1"/>
        <v>160</v>
      </c>
      <c r="L20" s="56" t="s">
        <v>169</v>
      </c>
      <c r="M20" s="66">
        <v>45</v>
      </c>
      <c r="N20" s="66">
        <v>6</v>
      </c>
      <c r="O20" s="66">
        <v>46</v>
      </c>
      <c r="P20" s="60">
        <v>25</v>
      </c>
      <c r="Q20" s="60">
        <v>3</v>
      </c>
      <c r="R20" s="60">
        <v>2</v>
      </c>
      <c r="S20" s="60">
        <v>360</v>
      </c>
      <c r="T20" s="60">
        <v>33</v>
      </c>
      <c r="U20" s="60">
        <v>49</v>
      </c>
      <c r="V20" s="60">
        <v>13</v>
      </c>
      <c r="W20" s="60">
        <v>1</v>
      </c>
      <c r="X20" s="60">
        <v>3</v>
      </c>
      <c r="Y20" s="60">
        <v>6</v>
      </c>
      <c r="Z20" s="60">
        <v>5</v>
      </c>
      <c r="AA20" s="60">
        <v>0</v>
      </c>
      <c r="AB20" s="60">
        <v>4</v>
      </c>
      <c r="AC20" s="60">
        <v>1</v>
      </c>
      <c r="AD20" s="60"/>
      <c r="AE20" s="60"/>
      <c r="AI20" s="56" t="s">
        <v>169</v>
      </c>
    </row>
    <row r="21" spans="2:35" ht="18.75" customHeight="1" x14ac:dyDescent="0.15">
      <c r="B21" s="105" t="s">
        <v>42</v>
      </c>
      <c r="C21" s="70">
        <f>IFERROR(INDEX(阻害要因×疾患名[#All],MATCH($AI21,阻害要因×疾患名[[#All],[値]],0),MATCH($AJ$4,阻害要因×疾患名[#Headers],0)),0)+IFERROR(INDEX(阻害要因×疾患名[#All],MATCH($AI21,阻害要因×疾患名[[#All],[値]],0),MATCH($AK$4,阻害要因×疾患名[#Headers],0)),0)</f>
        <v>15</v>
      </c>
      <c r="D21" s="69">
        <f t="shared" si="2"/>
        <v>7.4257425742574254E-2</v>
      </c>
      <c r="E21" s="70">
        <f>IFERROR(INDEX(阻害要因×疾患名[#All],MATCH($AI21,阻害要因×疾患名[[#All],[値]],0),MATCH($AL$4,阻害要因×疾患名[#Headers],0)),0)</f>
        <v>8</v>
      </c>
      <c r="F21" s="69">
        <f t="shared" si="3"/>
        <v>4.0816326530612242E-2</v>
      </c>
      <c r="G21" s="70">
        <f>IFERROR(INDEX(阻害要因×疾患名[#All],MATCH($AI21,阻害要因×疾患名[[#All],[値]],0),MATCH($AP$4,阻害要因×疾患名[#Headers],0)),0)</f>
        <v>122</v>
      </c>
      <c r="H21" s="69">
        <f t="shared" si="4"/>
        <v>0.11101000909918107</v>
      </c>
      <c r="I21" s="70">
        <f>IFERROR(INDEX(阻害要因×疾患名[#All],MATCH($AI21,阻害要因×疾患名[[#All],[値]],0),MATCH($AQ$4,阻害要因×疾患名[#Headers],0)),0)+IFERROR(INDEX(阻害要因×疾患名[#All],MATCH($AI21,阻害要因×疾患名[[#All],[値]],0),MATCH($AR$4,阻害要因×疾患名[#Headers],0)),0)</f>
        <v>15</v>
      </c>
      <c r="J21" s="69">
        <f t="shared" si="5"/>
        <v>6.9124423963133647E-2</v>
      </c>
      <c r="K21" s="39">
        <f t="shared" si="1"/>
        <v>542</v>
      </c>
      <c r="L21" s="56" t="s">
        <v>170</v>
      </c>
      <c r="M21" s="66">
        <v>14</v>
      </c>
      <c r="N21" s="66">
        <v>1</v>
      </c>
      <c r="O21" s="66">
        <v>8</v>
      </c>
      <c r="P21" s="60">
        <v>9</v>
      </c>
      <c r="Q21" s="60">
        <v>1</v>
      </c>
      <c r="R21" s="60">
        <v>2</v>
      </c>
      <c r="S21" s="60">
        <v>122</v>
      </c>
      <c r="T21" s="60">
        <v>4</v>
      </c>
      <c r="U21" s="60">
        <v>11</v>
      </c>
      <c r="V21" s="60">
        <v>4</v>
      </c>
      <c r="W21" s="60">
        <v>0</v>
      </c>
      <c r="X21" s="60">
        <v>1</v>
      </c>
      <c r="Y21" s="60">
        <v>1</v>
      </c>
      <c r="Z21" s="60">
        <v>3</v>
      </c>
      <c r="AA21" s="60">
        <v>1</v>
      </c>
      <c r="AB21" s="60">
        <v>1</v>
      </c>
      <c r="AC21" s="60">
        <v>0</v>
      </c>
      <c r="AD21" s="60"/>
      <c r="AE21" s="60"/>
      <c r="AI21" s="56" t="s">
        <v>170</v>
      </c>
    </row>
    <row r="22" spans="2:35" ht="18.75" customHeight="1" x14ac:dyDescent="0.15">
      <c r="B22" s="105" t="s">
        <v>43</v>
      </c>
      <c r="C22" s="70">
        <f>IFERROR(INDEX(阻害要因×疾患名[#All],MATCH($AI22,阻害要因×疾患名[[#All],[値]],0),MATCH($AJ$4,阻害要因×疾患名[#Headers],0)),0)+IFERROR(INDEX(阻害要因×疾患名[#All],MATCH($AI22,阻害要因×疾患名[[#All],[値]],0),MATCH($AK$4,阻害要因×疾患名[#Headers],0)),0)</f>
        <v>70</v>
      </c>
      <c r="D22" s="69">
        <f t="shared" si="2"/>
        <v>0.34653465346534651</v>
      </c>
      <c r="E22" s="70">
        <f>IFERROR(INDEX(阻害要因×疾患名[#All],MATCH($AI22,阻害要因×疾患名[[#All],[値]],0),MATCH($AL$4,阻害要因×疾患名[#Headers],0)),0)</f>
        <v>55</v>
      </c>
      <c r="F22" s="69">
        <f t="shared" si="3"/>
        <v>0.28061224489795916</v>
      </c>
      <c r="G22" s="70">
        <f>IFERROR(INDEX(阻害要因×疾患名[#All],MATCH($AI22,阻害要因×疾患名[[#All],[値]],0),MATCH($AP$4,阻害要因×疾患名[#Headers],0)),0)</f>
        <v>359</v>
      </c>
      <c r="H22" s="69">
        <f t="shared" si="4"/>
        <v>0.32666060054595086</v>
      </c>
      <c r="I22" s="70">
        <f>IFERROR(INDEX(阻害要因×疾患名[#All],MATCH($AI22,阻害要因×疾患名[[#All],[値]],0),MATCH($AQ$4,阻害要因×疾患名[#Headers],0)),0)+IFERROR(INDEX(阻害要因×疾患名[#All],MATCH($AI22,阻害要因×疾患名[[#All],[値]],0),MATCH($AR$4,阻害要因×疾患名[#Headers],0)),0)</f>
        <v>58</v>
      </c>
      <c r="J22" s="69">
        <f t="shared" si="5"/>
        <v>0.26728110599078342</v>
      </c>
      <c r="K22" s="39">
        <f t="shared" si="1"/>
        <v>330</v>
      </c>
      <c r="L22" s="56" t="s">
        <v>171</v>
      </c>
      <c r="M22" s="66">
        <v>59</v>
      </c>
      <c r="N22" s="66">
        <v>11</v>
      </c>
      <c r="O22" s="66">
        <v>55</v>
      </c>
      <c r="P22" s="60">
        <v>30</v>
      </c>
      <c r="Q22" s="60">
        <v>3</v>
      </c>
      <c r="R22" s="60">
        <v>3</v>
      </c>
      <c r="S22" s="60">
        <v>359</v>
      </c>
      <c r="T22" s="60">
        <v>24</v>
      </c>
      <c r="U22" s="60">
        <v>34</v>
      </c>
      <c r="V22" s="60">
        <v>10</v>
      </c>
      <c r="W22" s="60">
        <v>1</v>
      </c>
      <c r="X22" s="60">
        <v>1</v>
      </c>
      <c r="Y22" s="60">
        <v>13</v>
      </c>
      <c r="Z22" s="60">
        <v>5</v>
      </c>
      <c r="AA22" s="60">
        <v>3</v>
      </c>
      <c r="AB22" s="60">
        <v>1</v>
      </c>
      <c r="AC22" s="60">
        <v>1</v>
      </c>
      <c r="AD22" s="60"/>
      <c r="AE22" s="60"/>
      <c r="AI22" s="56" t="s">
        <v>171</v>
      </c>
    </row>
    <row r="23" spans="2:35" ht="18.75" customHeight="1" x14ac:dyDescent="0.15">
      <c r="B23" s="105" t="s">
        <v>44</v>
      </c>
      <c r="C23" s="70">
        <f>IFERROR(INDEX(阻害要因×疾患名[#All],MATCH($AI23,阻害要因×疾患名[[#All],[値]],0),MATCH($AJ$4,阻害要因×疾患名[#Headers],0)),0)+IFERROR(INDEX(阻害要因×疾患名[#All],MATCH($AI23,阻害要因×疾患名[[#All],[値]],0),MATCH($AK$4,阻害要因×疾患名[#Headers],0)),0)</f>
        <v>35</v>
      </c>
      <c r="D23" s="69">
        <f t="shared" si="2"/>
        <v>0.17326732673267325</v>
      </c>
      <c r="E23" s="70">
        <f>IFERROR(INDEX(阻害要因×疾患名[#All],MATCH($AI23,阻害要因×疾患名[[#All],[値]],0),MATCH($AL$4,阻害要因×疾患名[#Headers],0)),0)</f>
        <v>40</v>
      </c>
      <c r="F23" s="69">
        <f t="shared" si="3"/>
        <v>0.20408163265306123</v>
      </c>
      <c r="G23" s="70">
        <f>IFERROR(INDEX(阻害要因×疾患名[#All],MATCH($AI23,阻害要因×疾患名[[#All],[値]],0),MATCH($AP$4,阻害要因×疾患名[#Headers],0)),0)</f>
        <v>224</v>
      </c>
      <c r="H23" s="69">
        <f t="shared" si="4"/>
        <v>0.20382165605095542</v>
      </c>
      <c r="I23" s="70">
        <f>IFERROR(INDEX(阻害要因×疾患名[#All],MATCH($AI23,阻害要因×疾患名[[#All],[値]],0),MATCH($AQ$4,阻害要因×疾患名[#Headers],0)),0)+IFERROR(INDEX(阻害要因×疾患名[#All],MATCH($AI23,阻害要因×疾患名[[#All],[値]],0),MATCH($AR$4,阻害要因×疾患名[#Headers],0)),0)</f>
        <v>31</v>
      </c>
      <c r="J23" s="69">
        <f t="shared" si="5"/>
        <v>0.14285714285714285</v>
      </c>
      <c r="K23" s="39">
        <f t="shared" si="1"/>
        <v>386</v>
      </c>
      <c r="L23" s="56" t="s">
        <v>172</v>
      </c>
      <c r="M23" s="66">
        <v>26</v>
      </c>
      <c r="N23" s="66">
        <v>9</v>
      </c>
      <c r="O23" s="66">
        <v>40</v>
      </c>
      <c r="P23" s="60">
        <v>22</v>
      </c>
      <c r="Q23" s="60">
        <v>2</v>
      </c>
      <c r="R23" s="60">
        <v>1</v>
      </c>
      <c r="S23" s="60">
        <v>224</v>
      </c>
      <c r="T23" s="60">
        <v>19</v>
      </c>
      <c r="U23" s="60">
        <v>12</v>
      </c>
      <c r="V23" s="60">
        <v>4</v>
      </c>
      <c r="W23" s="60">
        <v>0</v>
      </c>
      <c r="X23" s="60">
        <v>0</v>
      </c>
      <c r="Y23" s="60">
        <v>2</v>
      </c>
      <c r="Z23" s="60">
        <v>3</v>
      </c>
      <c r="AA23" s="60">
        <v>1</v>
      </c>
      <c r="AB23" s="60">
        <v>2</v>
      </c>
      <c r="AC23" s="60">
        <v>0</v>
      </c>
      <c r="AD23" s="60"/>
      <c r="AE23" s="60"/>
      <c r="AI23" s="56" t="s">
        <v>172</v>
      </c>
    </row>
    <row r="24" spans="2:35" ht="18.75" customHeight="1" x14ac:dyDescent="0.15">
      <c r="B24" s="105" t="s">
        <v>246</v>
      </c>
      <c r="C24" s="70">
        <f>IFERROR(INDEX(阻害要因×疾患名[#All],MATCH($AI24,阻害要因×疾患名[[#All],[値]],0),MATCH($AJ$4,阻害要因×疾患名[#Headers],0)),0)+IFERROR(INDEX(阻害要因×疾患名[#All],MATCH($AI24,阻害要因×疾患名[[#All],[値]],0),MATCH($AK$4,阻害要因×疾患名[#Headers],0)),0)</f>
        <v>40</v>
      </c>
      <c r="D24" s="69">
        <f t="shared" si="2"/>
        <v>0.19801980198019803</v>
      </c>
      <c r="E24" s="70">
        <f>IFERROR(INDEX(阻害要因×疾患名[#All],MATCH($AI24,阻害要因×疾患名[[#All],[値]],0),MATCH($AL$4,阻害要因×疾患名[#Headers],0)),0)</f>
        <v>48</v>
      </c>
      <c r="F24" s="69">
        <f t="shared" si="3"/>
        <v>0.24489795918367346</v>
      </c>
      <c r="G24" s="70">
        <f>IFERROR(INDEX(阻害要因×疾患名[#All],MATCH($AI24,阻害要因×疾患名[[#All],[値]],0),MATCH($AP$4,阻害要因×疾患名[#Headers],0)),0)</f>
        <v>258</v>
      </c>
      <c r="H24" s="69">
        <f t="shared" si="4"/>
        <v>0.23475887170154686</v>
      </c>
      <c r="I24" s="70">
        <f>IFERROR(INDEX(阻害要因×疾患名[#All],MATCH($AI24,阻害要因×疾患名[[#All],[値]],0),MATCH($AQ$4,阻害要因×疾患名[#Headers],0)),0)+IFERROR(INDEX(阻害要因×疾患名[#All],MATCH($AI24,阻害要因×疾患名[[#All],[値]],0),MATCH($AR$4,阻害要因×疾患名[#Headers],0)),0)</f>
        <v>40</v>
      </c>
      <c r="J24" s="69">
        <f t="shared" si="5"/>
        <v>0.18433179723502305</v>
      </c>
      <c r="K24" s="39">
        <f t="shared" si="1"/>
        <v>623</v>
      </c>
      <c r="L24" s="56" t="s">
        <v>173</v>
      </c>
      <c r="M24" s="66">
        <v>33</v>
      </c>
      <c r="N24" s="66">
        <v>7</v>
      </c>
      <c r="O24" s="66">
        <v>48</v>
      </c>
      <c r="P24" s="60">
        <v>19</v>
      </c>
      <c r="Q24" s="60">
        <v>2</v>
      </c>
      <c r="R24" s="60">
        <v>3</v>
      </c>
      <c r="S24" s="60">
        <v>258</v>
      </c>
      <c r="T24" s="60">
        <v>24</v>
      </c>
      <c r="U24" s="60">
        <v>16</v>
      </c>
      <c r="V24" s="60">
        <v>14</v>
      </c>
      <c r="W24" s="60">
        <v>2</v>
      </c>
      <c r="X24" s="60">
        <v>3</v>
      </c>
      <c r="Y24" s="60">
        <v>5</v>
      </c>
      <c r="Z24" s="60">
        <v>4</v>
      </c>
      <c r="AA24" s="60">
        <v>2</v>
      </c>
      <c r="AB24" s="60">
        <v>4</v>
      </c>
      <c r="AC24" s="60">
        <v>1</v>
      </c>
      <c r="AD24" s="60"/>
      <c r="AE24" s="60"/>
      <c r="AI24" s="56" t="s">
        <v>173</v>
      </c>
    </row>
    <row r="25" spans="2:35" ht="18.75" customHeight="1" x14ac:dyDescent="0.15">
      <c r="B25" s="105" t="s">
        <v>46</v>
      </c>
      <c r="C25" s="106">
        <f>IFERROR(INDEX(阻害要因×疾患名[#All],MATCH($AI25,阻害要因×疾患名[[#All],[値]],0),MATCH($AJ$4,阻害要因×疾患名[#Headers],0)),0)+IFERROR(INDEX(阻害要因×疾患名[#All],MATCH($AI25,阻害要因×疾患名[[#All],[値]],0),MATCH($AK$4,阻害要因×疾患名[#Headers],0)),0)</f>
        <v>118</v>
      </c>
      <c r="D25" s="69">
        <f t="shared" si="2"/>
        <v>0.58415841584158412</v>
      </c>
      <c r="E25" s="70">
        <f>IFERROR(INDEX(阻害要因×疾患名[#All],MATCH($AI25,阻害要因×疾患名[[#All],[値]],0),MATCH($AL$4,阻害要因×疾患名[#Headers],0)),0)</f>
        <v>93</v>
      </c>
      <c r="F25" s="69">
        <f t="shared" si="3"/>
        <v>0.47448979591836737</v>
      </c>
      <c r="G25" s="70">
        <f>IFERROR(INDEX(阻害要因×疾患名[#All],MATCH($AI25,阻害要因×疾患名[[#All],[値]],0),MATCH($AP$4,阻害要因×疾患名[#Headers],0)),0)</f>
        <v>345</v>
      </c>
      <c r="H25" s="69">
        <f t="shared" si="4"/>
        <v>0.31392174704276615</v>
      </c>
      <c r="I25" s="70">
        <f>IFERROR(INDEX(阻害要因×疾患名[#All],MATCH($AI25,阻害要因×疾患名[[#All],[値]],0),MATCH($AQ$4,阻害要因×疾患名[#Headers],0)),0)+IFERROR(INDEX(阻害要因×疾患名[#All],MATCH($AI25,阻害要因×疾患名[[#All],[値]],0),MATCH($AR$4,阻害要因×疾患名[#Headers],0)),0)</f>
        <v>67</v>
      </c>
      <c r="J25" s="69">
        <f t="shared" si="5"/>
        <v>0.30875576036866359</v>
      </c>
      <c r="K25" s="39">
        <f t="shared" si="1"/>
        <v>108</v>
      </c>
      <c r="L25" s="56" t="s">
        <v>174</v>
      </c>
      <c r="M25" s="66">
        <v>103</v>
      </c>
      <c r="N25" s="66">
        <v>15</v>
      </c>
      <c r="O25" s="66">
        <v>93</v>
      </c>
      <c r="P25" s="60">
        <v>44</v>
      </c>
      <c r="Q25" s="60">
        <v>1</v>
      </c>
      <c r="R25" s="60">
        <v>4</v>
      </c>
      <c r="S25" s="60">
        <v>345</v>
      </c>
      <c r="T25" s="60">
        <v>43</v>
      </c>
      <c r="U25" s="60">
        <v>24</v>
      </c>
      <c r="V25" s="60">
        <v>12</v>
      </c>
      <c r="W25" s="60">
        <v>1</v>
      </c>
      <c r="X25" s="60">
        <v>1</v>
      </c>
      <c r="Y25" s="60">
        <v>9</v>
      </c>
      <c r="Z25" s="60">
        <v>5</v>
      </c>
      <c r="AA25" s="60">
        <v>5</v>
      </c>
      <c r="AB25" s="60">
        <v>4</v>
      </c>
      <c r="AC25" s="60">
        <v>0</v>
      </c>
      <c r="AD25" s="60"/>
      <c r="AE25" s="60"/>
      <c r="AI25" s="56" t="s">
        <v>174</v>
      </c>
    </row>
    <row r="26" spans="2:35" ht="18.75" customHeight="1" x14ac:dyDescent="0.15">
      <c r="B26" s="105" t="s">
        <v>47</v>
      </c>
      <c r="C26" s="70">
        <f>IFERROR(INDEX(阻害要因×疾患名[#All],MATCH($AI26,阻害要因×疾患名[[#All],[値]],0),MATCH($AJ$4,阻害要因×疾患名[#Headers],0)),0)+IFERROR(INDEX(阻害要因×疾患名[#All],MATCH($AI26,阻害要因×疾患名[[#All],[値]],0),MATCH($AK$4,阻害要因×疾患名[#Headers],0)),0)</f>
        <v>14</v>
      </c>
      <c r="D26" s="69">
        <f t="shared" si="2"/>
        <v>6.9306930693069313E-2</v>
      </c>
      <c r="E26" s="70">
        <f>IFERROR(INDEX(阻害要因×疾患名[#All],MATCH($AI26,阻害要因×疾患名[[#All],[値]],0),MATCH($AL$4,阻害要因×疾患名[#Headers],0)),0)</f>
        <v>13</v>
      </c>
      <c r="F26" s="69">
        <f t="shared" si="3"/>
        <v>6.6326530612244902E-2</v>
      </c>
      <c r="G26" s="70">
        <f>IFERROR(INDEX(阻害要因×疾患名[#All],MATCH($AI26,阻害要因×疾患名[[#All],[値]],0),MATCH($AP$4,阻害要因×疾患名[#Headers],0)),0)</f>
        <v>62</v>
      </c>
      <c r="H26" s="69">
        <f t="shared" si="4"/>
        <v>5.6414922656960874E-2</v>
      </c>
      <c r="I26" s="70">
        <f>IFERROR(INDEX(阻害要因×疾患名[#All],MATCH($AI26,阻害要因×疾患名[[#All],[値]],0),MATCH($AQ$4,阻害要因×疾患名[#Headers],0)),0)+IFERROR(INDEX(阻害要因×疾患名[#All],MATCH($AI26,阻害要因×疾患名[[#All],[値]],0),MATCH($AR$4,阻害要因×疾患名[#Headers],0)),0)</f>
        <v>19</v>
      </c>
      <c r="J26" s="69">
        <f t="shared" si="5"/>
        <v>8.755760368663594E-2</v>
      </c>
      <c r="K26" s="39">
        <f t="shared" si="1"/>
        <v>96</v>
      </c>
      <c r="L26" s="56" t="s">
        <v>175</v>
      </c>
      <c r="M26" s="66">
        <v>9</v>
      </c>
      <c r="N26" s="66">
        <v>5</v>
      </c>
      <c r="O26" s="66">
        <v>13</v>
      </c>
      <c r="P26" s="60">
        <v>6</v>
      </c>
      <c r="Q26" s="60">
        <v>1</v>
      </c>
      <c r="R26" s="60">
        <v>2</v>
      </c>
      <c r="S26" s="60">
        <v>62</v>
      </c>
      <c r="T26" s="60">
        <v>11</v>
      </c>
      <c r="U26" s="60">
        <v>8</v>
      </c>
      <c r="V26" s="60">
        <v>1</v>
      </c>
      <c r="W26" s="60">
        <v>0</v>
      </c>
      <c r="X26" s="60">
        <v>0</v>
      </c>
      <c r="Y26" s="60">
        <v>0</v>
      </c>
      <c r="Z26" s="60">
        <v>1</v>
      </c>
      <c r="AA26" s="60">
        <v>1</v>
      </c>
      <c r="AB26" s="60">
        <v>1</v>
      </c>
      <c r="AC26" s="60">
        <v>0</v>
      </c>
      <c r="AD26" s="60"/>
      <c r="AE26" s="60"/>
      <c r="AI26" s="56" t="s">
        <v>175</v>
      </c>
    </row>
    <row r="27" spans="2:35" ht="18.75" customHeight="1" x14ac:dyDescent="0.15">
      <c r="B27" s="105" t="s">
        <v>48</v>
      </c>
      <c r="C27" s="70">
        <f>IFERROR(INDEX(阻害要因×疾患名[#All],MATCH($AI27,阻害要因×疾患名[[#All],[値]],0),MATCH($AJ$4,阻害要因×疾患名[#Headers],0)),0)+IFERROR(INDEX(阻害要因×疾患名[#All],MATCH($AI27,阻害要因×疾患名[[#All],[値]],0),MATCH($AK$4,阻害要因×疾患名[#Headers],0)),0)</f>
        <v>7</v>
      </c>
      <c r="D27" s="69">
        <f t="shared" si="2"/>
        <v>3.4653465346534656E-2</v>
      </c>
      <c r="E27" s="70">
        <f>IFERROR(INDEX(阻害要因×疾患名[#All],MATCH($AI27,阻害要因×疾患名[[#All],[値]],0),MATCH($AL$4,阻害要因×疾患名[#Headers],0)),0)</f>
        <v>8</v>
      </c>
      <c r="F27" s="69">
        <f t="shared" si="3"/>
        <v>4.0816326530612242E-2</v>
      </c>
      <c r="G27" s="70">
        <f>IFERROR(INDEX(阻害要因×疾患名[#All],MATCH($AI27,阻害要因×疾患名[[#All],[値]],0),MATCH($AP$4,阻害要因×疾患名[#Headers],0)),0)</f>
        <v>71</v>
      </c>
      <c r="H27" s="69">
        <f t="shared" si="4"/>
        <v>6.4604185623293897E-2</v>
      </c>
      <c r="I27" s="70">
        <f>IFERROR(INDEX(阻害要因×疾患名[#All],MATCH($AI27,阻害要因×疾患名[[#All],[値]],0),MATCH($AQ$4,阻害要因×疾患名[#Headers],0)),0)+IFERROR(INDEX(阻害要因×疾患名[#All],MATCH($AI27,阻害要因×疾患名[[#All],[値]],0),MATCH($AR$4,阻害要因×疾患名[#Headers],0)),0)</f>
        <v>10</v>
      </c>
      <c r="J27" s="69">
        <f t="shared" si="5"/>
        <v>4.6082949308755762E-2</v>
      </c>
      <c r="K27" s="39">
        <f t="shared" si="1"/>
        <v>10</v>
      </c>
      <c r="L27" s="56" t="s">
        <v>176</v>
      </c>
      <c r="M27" s="66">
        <v>5</v>
      </c>
      <c r="N27" s="66">
        <v>2</v>
      </c>
      <c r="O27" s="66">
        <v>8</v>
      </c>
      <c r="P27" s="60">
        <v>11</v>
      </c>
      <c r="Q27" s="60">
        <v>0</v>
      </c>
      <c r="R27" s="60">
        <v>2</v>
      </c>
      <c r="S27" s="60">
        <v>71</v>
      </c>
      <c r="T27" s="60">
        <v>6</v>
      </c>
      <c r="U27" s="60">
        <v>4</v>
      </c>
      <c r="V27" s="60">
        <v>2</v>
      </c>
      <c r="W27" s="60">
        <v>0</v>
      </c>
      <c r="X27" s="60">
        <v>2</v>
      </c>
      <c r="Y27" s="60">
        <v>2</v>
      </c>
      <c r="Z27" s="60">
        <v>1</v>
      </c>
      <c r="AA27" s="60">
        <v>0</v>
      </c>
      <c r="AB27" s="60">
        <v>2</v>
      </c>
      <c r="AC27" s="60">
        <v>1</v>
      </c>
      <c r="AD27" s="60"/>
      <c r="AE27" s="60"/>
      <c r="AI27" s="56" t="s">
        <v>176</v>
      </c>
    </row>
    <row r="28" spans="2:35" ht="18.75" customHeight="1" x14ac:dyDescent="0.15">
      <c r="B28" s="105" t="s">
        <v>49</v>
      </c>
      <c r="C28" s="68">
        <f>IFERROR(INDEX(阻害要因×疾患名[#All],MATCH($AI28,阻害要因×疾患名[[#All],[値]],0),MATCH($AJ$4,阻害要因×疾患名[#Headers],0)),0)+IFERROR(INDEX(阻害要因×疾患名[#All],MATCH($AI28,阻害要因×疾患名[[#All],[値]],0),MATCH($AK$4,阻害要因×疾患名[#Headers],0)),0)</f>
        <v>0</v>
      </c>
      <c r="D28" s="73">
        <f t="shared" si="2"/>
        <v>0</v>
      </c>
      <c r="E28" s="68">
        <f>IFERROR(INDEX(阻害要因×疾患名[#All],MATCH($AI28,阻害要因×疾患名[[#All],[値]],0),MATCH($AL$4,阻害要因×疾患名[#Headers],0)),0)</f>
        <v>0</v>
      </c>
      <c r="F28" s="73">
        <f t="shared" si="3"/>
        <v>0</v>
      </c>
      <c r="G28" s="68">
        <f>IFERROR(INDEX(阻害要因×疾患名[#All],MATCH($AI28,阻害要因×疾患名[[#All],[値]],0),MATCH($AP$4,阻害要因×疾患名[#Headers],0)),0)</f>
        <v>8</v>
      </c>
      <c r="H28" s="73">
        <f t="shared" si="4"/>
        <v>7.2793448589626936E-3</v>
      </c>
      <c r="I28" s="68">
        <f>IFERROR(INDEX(阻害要因×疾患名[#All],MATCH($AI28,阻害要因×疾患名[[#All],[値]],0),MATCH($AQ$4,阻害要因×疾患名[#Headers],0)),0)+IFERROR(INDEX(阻害要因×疾患名[#All],MATCH($AI28,阻害要因×疾患名[[#All],[値]],0),MATCH($AR$4,阻害要因×疾患名[#Headers],0)),0)</f>
        <v>2</v>
      </c>
      <c r="J28" s="73">
        <f t="shared" si="5"/>
        <v>9.2165898617511521E-3</v>
      </c>
      <c r="K28" s="39">
        <f t="shared" si="1"/>
        <v>131</v>
      </c>
      <c r="L28" s="56" t="s">
        <v>177</v>
      </c>
      <c r="M28" s="66">
        <v>0</v>
      </c>
      <c r="N28" s="66">
        <v>0</v>
      </c>
      <c r="O28" s="60">
        <v>0</v>
      </c>
      <c r="P28" s="60">
        <v>0</v>
      </c>
      <c r="Q28" s="60">
        <v>0</v>
      </c>
      <c r="R28" s="60">
        <v>0</v>
      </c>
      <c r="S28" s="60">
        <v>8</v>
      </c>
      <c r="T28" s="60">
        <v>1</v>
      </c>
      <c r="U28" s="60">
        <v>1</v>
      </c>
      <c r="V28" s="60">
        <v>0</v>
      </c>
      <c r="W28" s="60">
        <v>0</v>
      </c>
      <c r="X28" s="60">
        <v>1</v>
      </c>
      <c r="Y28" s="60">
        <v>0</v>
      </c>
      <c r="Z28" s="60">
        <v>0</v>
      </c>
      <c r="AA28" s="60">
        <v>0</v>
      </c>
      <c r="AB28" s="60">
        <v>0</v>
      </c>
      <c r="AC28" s="60">
        <v>0</v>
      </c>
      <c r="AD28" s="60"/>
      <c r="AE28" s="60"/>
      <c r="AI28" s="56" t="s">
        <v>177</v>
      </c>
    </row>
    <row r="29" spans="2:35" ht="18.75" customHeight="1" x14ac:dyDescent="0.15">
      <c r="B29" s="105" t="s">
        <v>50</v>
      </c>
      <c r="C29" s="106">
        <f>IFERROR(INDEX(阻害要因×疾患名[#All],MATCH($AI29,阻害要因×疾患名[[#All],[値]],0),MATCH($AJ$4,阻害要因×疾患名[#Headers],0)),0)+IFERROR(INDEX(阻害要因×疾患名[#All],MATCH($AI29,阻害要因×疾患名[[#All],[値]],0),MATCH($AK$4,阻害要因×疾患名[#Headers],0)),0)</f>
        <v>22</v>
      </c>
      <c r="D29" s="69">
        <f t="shared" si="2"/>
        <v>0.10891089108910891</v>
      </c>
      <c r="E29" s="70">
        <f>IFERROR(INDEX(阻害要因×疾患名[#All],MATCH($AI29,阻害要因×疾患名[[#All],[値]],0),MATCH($AL$4,阻害要因×疾患名[#Headers],0)),0)</f>
        <v>19</v>
      </c>
      <c r="F29" s="69">
        <f t="shared" si="3"/>
        <v>9.6938775510204078E-2</v>
      </c>
      <c r="G29" s="70">
        <f>IFERROR(INDEX(阻害要因×疾患名[#All],MATCH($AI29,阻害要因×疾患名[[#All],[値]],0),MATCH($AP$4,阻害要因×疾患名[#Headers],0)),0)</f>
        <v>80</v>
      </c>
      <c r="H29" s="69">
        <f t="shared" si="4"/>
        <v>7.2793448589626927E-2</v>
      </c>
      <c r="I29" s="70">
        <f>IFERROR(INDEX(阻害要因×疾患名[#All],MATCH($AI29,阻害要因×疾患名[[#All],[値]],0),MATCH($AQ$4,阻害要因×疾患名[#Headers],0)),0)+IFERROR(INDEX(阻害要因×疾患名[#All],MATCH($AI29,阻害要因×疾患名[[#All],[値]],0),MATCH($AR$4,阻害要因×疾患名[#Headers],0)),0)</f>
        <v>10</v>
      </c>
      <c r="J29" s="69">
        <f t="shared" si="5"/>
        <v>4.6082949308755762E-2</v>
      </c>
      <c r="K29" s="39">
        <f t="shared" si="1"/>
        <v>154</v>
      </c>
      <c r="L29" s="56" t="s">
        <v>178</v>
      </c>
      <c r="M29" s="66">
        <v>20</v>
      </c>
      <c r="N29" s="66">
        <v>2</v>
      </c>
      <c r="O29" s="60">
        <v>19</v>
      </c>
      <c r="P29" s="60">
        <v>11</v>
      </c>
      <c r="Q29" s="60">
        <v>1</v>
      </c>
      <c r="R29" s="60">
        <v>2</v>
      </c>
      <c r="S29" s="60">
        <v>80</v>
      </c>
      <c r="T29" s="60">
        <v>5</v>
      </c>
      <c r="U29" s="60">
        <v>5</v>
      </c>
      <c r="V29" s="60">
        <v>9</v>
      </c>
      <c r="W29" s="60">
        <v>0</v>
      </c>
      <c r="X29" s="60">
        <v>3</v>
      </c>
      <c r="Y29" s="60">
        <v>2</v>
      </c>
      <c r="Z29" s="60">
        <v>3</v>
      </c>
      <c r="AA29" s="60">
        <v>1</v>
      </c>
      <c r="AB29" s="60">
        <v>1</v>
      </c>
      <c r="AC29" s="60">
        <v>1</v>
      </c>
      <c r="AD29" s="60"/>
      <c r="AE29" s="60"/>
      <c r="AI29" s="56" t="s">
        <v>178</v>
      </c>
    </row>
    <row r="30" spans="2:35" ht="18.75" customHeight="1" x14ac:dyDescent="0.15">
      <c r="B30" s="105" t="s">
        <v>51</v>
      </c>
      <c r="C30" s="106">
        <f>IFERROR(INDEX(阻害要因×疾患名[#All],MATCH($AI30,阻害要因×疾患名[[#All],[値]],0),MATCH($AJ$4,阻害要因×疾患名[#Headers],0)),0)+IFERROR(INDEX(阻害要因×疾患名[#All],MATCH($AI30,阻害要因×疾患名[[#All],[値]],0),MATCH($AK$4,阻害要因×疾患名[#Headers],0)),0)</f>
        <v>21</v>
      </c>
      <c r="D30" s="69">
        <f t="shared" si="2"/>
        <v>0.10396039603960396</v>
      </c>
      <c r="E30" s="70">
        <f>IFERROR(INDEX(阻害要因×疾患名[#All],MATCH($AI30,阻害要因×疾患名[[#All],[値]],0),MATCH($AL$4,阻害要因×疾患名[#Headers],0)),0)</f>
        <v>19</v>
      </c>
      <c r="F30" s="69">
        <f t="shared" si="3"/>
        <v>9.6938775510204078E-2</v>
      </c>
      <c r="G30" s="70">
        <f>IFERROR(INDEX(阻害要因×疾患名[#All],MATCH($AI30,阻害要因×疾患名[[#All],[値]],0),MATCH($AP$4,阻害要因×疾患名[#Headers],0)),0)</f>
        <v>97</v>
      </c>
      <c r="H30" s="69">
        <f t="shared" si="4"/>
        <v>8.8262056414922657E-2</v>
      </c>
      <c r="I30" s="70">
        <f>IFERROR(INDEX(阻害要因×疾患名[#All],MATCH($AI30,阻害要因×疾患名[[#All],[値]],0),MATCH($AQ$4,阻害要因×疾患名[#Headers],0)),0)+IFERROR(INDEX(阻害要因×疾患名[#All],MATCH($AI30,阻害要因×疾患名[[#All],[値]],0),MATCH($AR$4,阻害要因×疾患名[#Headers],0)),0)</f>
        <v>17</v>
      </c>
      <c r="J30" s="69">
        <f t="shared" si="5"/>
        <v>7.8341013824884786E-2</v>
      </c>
      <c r="K30" s="39">
        <f t="shared" si="1"/>
        <v>27</v>
      </c>
      <c r="L30" s="56" t="s">
        <v>179</v>
      </c>
      <c r="M30" s="66">
        <v>18</v>
      </c>
      <c r="N30" s="66">
        <v>3</v>
      </c>
      <c r="O30" s="60">
        <v>19</v>
      </c>
      <c r="P30" s="60">
        <v>12</v>
      </c>
      <c r="Q30" s="60">
        <v>0</v>
      </c>
      <c r="R30" s="60">
        <v>1</v>
      </c>
      <c r="S30" s="60">
        <v>97</v>
      </c>
      <c r="T30" s="60">
        <v>6</v>
      </c>
      <c r="U30" s="60">
        <v>11</v>
      </c>
      <c r="V30" s="60">
        <v>3</v>
      </c>
      <c r="W30" s="60">
        <v>1</v>
      </c>
      <c r="X30" s="60">
        <v>3</v>
      </c>
      <c r="Y30" s="60">
        <v>2</v>
      </c>
      <c r="Z30" s="60">
        <v>4</v>
      </c>
      <c r="AA30" s="60">
        <v>1</v>
      </c>
      <c r="AB30" s="60">
        <v>0</v>
      </c>
      <c r="AC30" s="60">
        <v>1</v>
      </c>
      <c r="AD30" s="60"/>
      <c r="AE30" s="60"/>
      <c r="AI30" s="56" t="s">
        <v>179</v>
      </c>
    </row>
    <row r="31" spans="2:35" ht="18.75" customHeight="1" x14ac:dyDescent="0.15">
      <c r="B31" s="105" t="s">
        <v>247</v>
      </c>
      <c r="C31" s="70">
        <f>IFERROR(INDEX(阻害要因×疾患名[#All],MATCH($AI31,阻害要因×疾患名[[#All],[値]],0),MATCH($AJ$4,阻害要因×疾患名[#Headers],0)),0)+IFERROR(INDEX(阻害要因×疾患名[#All],MATCH($AI31,阻害要因×疾患名[[#All],[値]],0),MATCH($AK$4,阻害要因×疾患名[#Headers],0)),0)</f>
        <v>5</v>
      </c>
      <c r="D31" s="69">
        <f t="shared" si="2"/>
        <v>2.4752475247524754E-2</v>
      </c>
      <c r="E31" s="70">
        <f>IFERROR(INDEX(阻害要因×疾患名[#All],MATCH($AI31,阻害要因×疾患名[[#All],[値]],0),MATCH($AL$4,阻害要因×疾患名[#Headers],0)),0)</f>
        <v>4</v>
      </c>
      <c r="F31" s="69">
        <f t="shared" si="3"/>
        <v>2.0408163265306121E-2</v>
      </c>
      <c r="G31" s="70">
        <f>IFERROR(INDEX(阻害要因×疾患名[#All],MATCH($AI31,阻害要因×疾患名[[#All],[値]],0),MATCH($AP$4,阻害要因×疾患名[#Headers],0)),0)</f>
        <v>14</v>
      </c>
      <c r="H31" s="69">
        <f t="shared" si="4"/>
        <v>1.2738853503184714E-2</v>
      </c>
      <c r="I31" s="70">
        <f>IFERROR(INDEX(阻害要因×疾患名[#All],MATCH($AI31,阻害要因×疾患名[[#All],[値]],0),MATCH($AQ$4,阻害要因×疾患名[#Headers],0)),0)+IFERROR(INDEX(阻害要因×疾患名[#All],MATCH($AI31,阻害要因×疾患名[[#All],[値]],0),MATCH($AR$4,阻害要因×疾患名[#Headers],0)),0)</f>
        <v>4</v>
      </c>
      <c r="J31" s="69">
        <f t="shared" si="5"/>
        <v>1.8433179723502304E-2</v>
      </c>
      <c r="K31" s="39">
        <f t="shared" si="1"/>
        <v>99</v>
      </c>
      <c r="L31" s="56" t="s">
        <v>180</v>
      </c>
      <c r="M31" s="66">
        <v>2</v>
      </c>
      <c r="N31" s="66">
        <v>3</v>
      </c>
      <c r="O31" s="60">
        <v>4</v>
      </c>
      <c r="P31" s="60">
        <v>4</v>
      </c>
      <c r="Q31" s="60">
        <v>0</v>
      </c>
      <c r="R31" s="60">
        <v>0</v>
      </c>
      <c r="S31" s="60">
        <v>14</v>
      </c>
      <c r="T31" s="60">
        <v>3</v>
      </c>
      <c r="U31" s="60">
        <v>1</v>
      </c>
      <c r="V31" s="60">
        <v>1</v>
      </c>
      <c r="W31" s="60">
        <v>0</v>
      </c>
      <c r="X31" s="60">
        <v>1</v>
      </c>
      <c r="Y31" s="60">
        <v>0</v>
      </c>
      <c r="Z31" s="60">
        <v>0</v>
      </c>
      <c r="AA31" s="60">
        <v>1</v>
      </c>
      <c r="AB31" s="60">
        <v>0</v>
      </c>
      <c r="AC31" s="60">
        <v>0</v>
      </c>
      <c r="AD31" s="60"/>
      <c r="AE31" s="60"/>
      <c r="AI31" s="56" t="s">
        <v>180</v>
      </c>
    </row>
    <row r="32" spans="2:35" ht="18.75" customHeight="1" x14ac:dyDescent="0.15">
      <c r="B32" s="107" t="s">
        <v>53</v>
      </c>
      <c r="C32" s="74">
        <f>IFERROR(INDEX(阻害要因×疾患名[#All],MATCH($AI32,阻害要因×疾患名[[#All],[値]],0),MATCH($AJ$4,阻害要因×疾患名[#Headers],0)),0)+IFERROR(INDEX(阻害要因×疾患名[#All],MATCH($AI32,阻害要因×疾患名[[#All],[値]],0),MATCH($AK$4,阻害要因×疾患名[#Headers],0)),0)</f>
        <v>7</v>
      </c>
      <c r="D32" s="77">
        <f t="shared" si="2"/>
        <v>3.4653465346534656E-2</v>
      </c>
      <c r="E32" s="74">
        <f>IFERROR(INDEX(阻害要因×疾患名[#All],MATCH($AI32,阻害要因×疾患名[[#All],[値]],0),MATCH($AL$4,阻害要因×疾患名[#Headers],0)),0)</f>
        <v>9</v>
      </c>
      <c r="F32" s="77">
        <f t="shared" si="3"/>
        <v>4.5918367346938778E-2</v>
      </c>
      <c r="G32" s="74">
        <f>IFERROR(INDEX(阻害要因×疾患名[#All],MATCH($AI32,阻害要因×疾患名[[#All],[値]],0),MATCH($AP$4,阻害要因×疾患名[#Headers],0)),0)</f>
        <v>69</v>
      </c>
      <c r="H32" s="77">
        <f t="shared" si="4"/>
        <v>6.2784349408553236E-2</v>
      </c>
      <c r="I32" s="74">
        <f>IFERROR(INDEX(阻害要因×疾患名[#All],MATCH($AI32,阻害要因×疾患名[[#All],[値]],0),MATCH($AQ$4,阻害要因×疾患名[#Headers],0)),0)+IFERROR(INDEX(阻害要因×疾患名[#All],MATCH($AI32,阻害要因×疾患名[[#All],[値]],0),MATCH($AR$4,阻害要因×疾患名[#Headers],0)),0)</f>
        <v>14</v>
      </c>
      <c r="J32" s="77">
        <f t="shared" si="5"/>
        <v>6.4516129032258063E-2</v>
      </c>
      <c r="K32" s="39"/>
      <c r="L32" s="56" t="s">
        <v>181</v>
      </c>
      <c r="M32" s="66">
        <v>6</v>
      </c>
      <c r="N32" s="66">
        <v>1</v>
      </c>
      <c r="O32" s="60">
        <v>9</v>
      </c>
      <c r="P32" s="60">
        <v>1</v>
      </c>
      <c r="Q32" s="60">
        <v>0</v>
      </c>
      <c r="R32" s="60">
        <v>1</v>
      </c>
      <c r="S32" s="60">
        <v>69</v>
      </c>
      <c r="T32" s="60">
        <v>5</v>
      </c>
      <c r="U32" s="60">
        <v>9</v>
      </c>
      <c r="V32" s="60">
        <v>2</v>
      </c>
      <c r="W32" s="60">
        <v>0</v>
      </c>
      <c r="X32" s="60">
        <v>1</v>
      </c>
      <c r="Y32" s="60">
        <v>1</v>
      </c>
      <c r="Z32" s="60">
        <v>2</v>
      </c>
      <c r="AA32" s="60">
        <v>0</v>
      </c>
      <c r="AB32" s="60">
        <v>4</v>
      </c>
      <c r="AC32" s="60">
        <v>0</v>
      </c>
      <c r="AD32" s="599"/>
      <c r="AE32" s="599"/>
      <c r="AI32" s="56" t="s">
        <v>181</v>
      </c>
    </row>
    <row r="33" spans="2:35" ht="18.75" customHeight="1" x14ac:dyDescent="0.15">
      <c r="C33" s="20"/>
      <c r="K33" s="39"/>
    </row>
    <row r="34" spans="2:35" ht="18.75" customHeight="1" x14ac:dyDescent="0.15">
      <c r="B34" s="2" t="s">
        <v>82</v>
      </c>
      <c r="K34" s="39"/>
    </row>
    <row r="35" spans="2:35" ht="18.75" customHeight="1" x14ac:dyDescent="0.15">
      <c r="B35" s="675" t="s">
        <v>244</v>
      </c>
      <c r="C35" s="695" t="s">
        <v>81</v>
      </c>
      <c r="D35" s="696"/>
      <c r="E35" s="696"/>
      <c r="F35" s="696"/>
      <c r="G35" s="696"/>
      <c r="H35" s="696"/>
      <c r="I35" s="696"/>
      <c r="J35" s="697"/>
    </row>
    <row r="36" spans="2:35" ht="56.25" customHeight="1" thickBot="1" x14ac:dyDescent="0.2">
      <c r="B36" s="676"/>
      <c r="C36" s="695" t="s">
        <v>268</v>
      </c>
      <c r="D36" s="696"/>
      <c r="E36" s="696"/>
      <c r="F36" s="697"/>
      <c r="G36" s="707" t="s">
        <v>73</v>
      </c>
      <c r="H36" s="708"/>
      <c r="I36" s="707" t="s">
        <v>76</v>
      </c>
      <c r="J36" s="708"/>
      <c r="K36" s="39"/>
      <c r="L36" s="53" t="s">
        <v>63</v>
      </c>
    </row>
    <row r="37" spans="2:35" ht="56.25" customHeight="1" thickTop="1" thickBot="1" x14ac:dyDescent="0.2">
      <c r="B37" s="694"/>
      <c r="C37" s="705" t="s">
        <v>198</v>
      </c>
      <c r="D37" s="706"/>
      <c r="E37" s="705" t="s">
        <v>199</v>
      </c>
      <c r="F37" s="706"/>
      <c r="G37" s="709"/>
      <c r="H37" s="710"/>
      <c r="I37" s="709"/>
      <c r="J37" s="710"/>
      <c r="K37" s="39">
        <f>C38+E38+G38+I38</f>
        <v>554</v>
      </c>
      <c r="L37" s="502" t="s">
        <v>370</v>
      </c>
      <c r="M37" s="87" t="s">
        <v>295</v>
      </c>
      <c r="N37" s="87" t="s">
        <v>284</v>
      </c>
      <c r="O37" s="87" t="s">
        <v>285</v>
      </c>
      <c r="P37" s="87" t="s">
        <v>286</v>
      </c>
      <c r="Q37" s="87" t="s">
        <v>200</v>
      </c>
      <c r="R37" s="87" t="s">
        <v>201</v>
      </c>
      <c r="S37" s="87" t="s">
        <v>287</v>
      </c>
      <c r="T37" s="87" t="s">
        <v>288</v>
      </c>
      <c r="U37" s="87" t="s">
        <v>289</v>
      </c>
      <c r="V37" s="87" t="s">
        <v>290</v>
      </c>
      <c r="W37" s="87" t="s">
        <v>291</v>
      </c>
      <c r="X37" s="87" t="s">
        <v>296</v>
      </c>
      <c r="Y37" s="87" t="s">
        <v>292</v>
      </c>
      <c r="Z37" s="87" t="s">
        <v>293</v>
      </c>
      <c r="AA37" s="87" t="s">
        <v>297</v>
      </c>
      <c r="AB37" s="87" t="s">
        <v>18</v>
      </c>
      <c r="AC37" s="87" t="s">
        <v>294</v>
      </c>
      <c r="AD37" s="87" t="s">
        <v>586</v>
      </c>
    </row>
    <row r="38" spans="2:35" ht="37.5" customHeight="1" thickTop="1" x14ac:dyDescent="0.15">
      <c r="B38" s="88" t="s">
        <v>231</v>
      </c>
      <c r="C38" s="89">
        <f>IFERROR(INDEX(退院予定有無×疾患名＿寛解・院内寛解[#All],MATCH($AI38,退院予定有無×疾患名＿寛解・院内寛解[[#All],[行ラベル]],0),MATCH($AJ$4,退院予定有無×疾患名＿寛解・院内寛解[#Headers],0)),0)+IFERROR(INDEX(退院予定有無×疾患名＿寛解・院内寛解[#All],MATCH($AI38,退院予定有無×疾患名＿寛解・院内寛解[[#All],[行ラベル]],0),MATCH($AK$4,退院予定有無×疾患名＿寛解・院内寛解[#Headers],0)),0)</f>
        <v>50</v>
      </c>
      <c r="D38" s="90">
        <f>IFERROR(C38/C$41,"-")</f>
        <v>0.352112676056338</v>
      </c>
      <c r="E38" s="89">
        <f>IFERROR(INDEX(退院予定有無×疾患名＿寛解・院内寛解[#All],MATCH($AI38,退院予定有無×疾患名＿寛解・院内寛解[[#All],[行ラベル]],0),MATCH($AL$4,退院予定有無×疾患名＿寛解・院内寛解[#Headers],0)),0)</f>
        <v>56</v>
      </c>
      <c r="F38" s="90">
        <f>IFERROR(E38/E$41,"-")</f>
        <v>0.35897435897435898</v>
      </c>
      <c r="G38" s="89">
        <f>IFERROR(INDEX(退院予定有無×疾患名＿寛解・院内寛解[#All],MATCH($AI38,退院予定有無×疾患名＿寛解・院内寛解[[#All],[行ラベル]],0),MATCH($AP$4,退院予定有無×疾患名＿寛解・院内寛解[#Headers],0)),0)</f>
        <v>317</v>
      </c>
      <c r="H38" s="90">
        <f>IFERROR(G38/G$41,"-")</f>
        <v>0.44837340876944837</v>
      </c>
      <c r="I38" s="89">
        <f>IFERROR(INDEX(退院予定有無×疾患名＿寛解・院内寛解[#All],MATCH($AI38,退院予定有無×疾患名＿寛解・院内寛解[[#All],[行ラベル]],0),MATCH($AQ$4,退院予定有無×疾患名＿寛解・院内寛解[#Headers],0)),0)+IFERROR(INDEX(退院予定有無×疾患名＿寛解・院内寛解[#All],MATCH($AI38,退院予定有無×疾患名＿寛解・院内寛解[[#All],[行ラベル]],0),MATCH($AR$4,退院予定有無×疾患名＿寛解・院内寛解[#Headers],0)),0)</f>
        <v>131</v>
      </c>
      <c r="J38" s="90">
        <f>IFERROR(I38/I$41,"-")</f>
        <v>0.39577039274924469</v>
      </c>
      <c r="K38" s="39">
        <f>C39+E39+G39+I39</f>
        <v>178</v>
      </c>
      <c r="L38" s="34">
        <v>98</v>
      </c>
      <c r="M38" s="60">
        <v>11</v>
      </c>
      <c r="N38" s="66">
        <v>2</v>
      </c>
      <c r="O38" s="66">
        <v>25</v>
      </c>
      <c r="P38" s="60">
        <v>46</v>
      </c>
      <c r="Q38" s="60"/>
      <c r="R38" s="60">
        <v>1</v>
      </c>
      <c r="S38" s="60">
        <v>105</v>
      </c>
      <c r="T38" s="60">
        <v>16</v>
      </c>
      <c r="U38" s="60">
        <v>19</v>
      </c>
      <c r="V38" s="60">
        <v>5</v>
      </c>
      <c r="W38" s="60">
        <v>1</v>
      </c>
      <c r="X38" s="60">
        <v>1</v>
      </c>
      <c r="Y38" s="60">
        <v>1</v>
      </c>
      <c r="Z38" s="60">
        <v>1</v>
      </c>
      <c r="AA38" s="60"/>
      <c r="AB38" s="60"/>
      <c r="AC38" s="60">
        <v>2</v>
      </c>
      <c r="AD38" s="598"/>
      <c r="AI38" s="412">
        <v>97</v>
      </c>
    </row>
    <row r="39" spans="2:35" ht="18.75" customHeight="1" x14ac:dyDescent="0.15">
      <c r="B39" s="91" t="s">
        <v>241</v>
      </c>
      <c r="C39" s="70">
        <f>IFERROR(INDEX(退院予定有無×疾患名＿寛解・院内寛解[#All],MATCH($AI39,退院予定有無×疾患名＿寛解・院内寛解[[#All],[行ラベル]],0),MATCH($AJ$4,退院予定有無×疾患名＿寛解・院内寛解[#Headers],0)),0)+IFERROR(INDEX(退院予定有無×疾患名＿寛解・院内寛解[#All],MATCH($AI39,退院予定有無×疾患名＿寛解・院内寛解[[#All],[行ラベル]],0),MATCH($AK$4,退院予定有無×疾患名＿寛解・院内寛解[#Headers],0)),0)</f>
        <v>13</v>
      </c>
      <c r="D39" s="69">
        <f>IFERROR(C39/C$41,"-")</f>
        <v>9.154929577464789E-2</v>
      </c>
      <c r="E39" s="70">
        <f>IFERROR(INDEX(退院予定有無×疾患名＿寛解・院内寛解[#All],MATCH($AI39,退院予定有無×疾患名＿寛解・院内寛解[[#All],[行ラベル]],0),MATCH($AL$4,退院予定有無×疾患名＿寛解・院内寛解[#Headers],0)),0)</f>
        <v>25</v>
      </c>
      <c r="F39" s="69">
        <f>IFERROR(E39/E$41,"-")</f>
        <v>0.16025641025641027</v>
      </c>
      <c r="G39" s="70">
        <f>IFERROR(INDEX(退院予定有無×疾患名＿寛解・院内寛解[#All],MATCH($AI39,退院予定有無×疾患名＿寛解・院内寛解[[#All],[行ラベル]],0),MATCH($AP$4,退院予定有無×疾患名＿寛解・院内寛解[#Headers],0)),0)</f>
        <v>105</v>
      </c>
      <c r="H39" s="69">
        <f>IFERROR(G39/G$41,"-")</f>
        <v>0.14851485148514851</v>
      </c>
      <c r="I39" s="70">
        <f>IFERROR(INDEX(退院予定有無×疾患名＿寛解・院内寛解[#All],MATCH($AI39,退院予定有無×疾患名＿寛解・院内寛解[[#All],[行ラベル]],0),MATCH($AQ$4,退院予定有無×疾患名＿寛解・院内寛解[#Headers],0)),0)+IFERROR(INDEX(退院予定有無×疾患名＿寛解・院内寛解[#All],MATCH($AI39,退院予定有無×疾患名＿寛解・院内寛解[[#All],[行ラベル]],0),MATCH($AR$4,退院予定有無×疾患名＿寛解・院内寛解[#Headers],0)),0)</f>
        <v>35</v>
      </c>
      <c r="J39" s="69">
        <f>IFERROR(I39/I$41,"-")</f>
        <v>0.10574018126888217</v>
      </c>
      <c r="K39" s="39">
        <f>C40+E40+G40+I40</f>
        <v>604</v>
      </c>
      <c r="L39" s="34">
        <v>97</v>
      </c>
      <c r="M39" s="60">
        <v>44</v>
      </c>
      <c r="N39" s="66">
        <v>6</v>
      </c>
      <c r="O39" s="66">
        <v>56</v>
      </c>
      <c r="P39" s="60">
        <v>59</v>
      </c>
      <c r="Q39" s="60">
        <v>3</v>
      </c>
      <c r="R39" s="60">
        <v>3</v>
      </c>
      <c r="S39" s="60">
        <v>317</v>
      </c>
      <c r="T39" s="60">
        <v>69</v>
      </c>
      <c r="U39" s="60">
        <v>62</v>
      </c>
      <c r="V39" s="60">
        <v>27</v>
      </c>
      <c r="W39" s="60">
        <v>1</v>
      </c>
      <c r="X39" s="60">
        <v>8</v>
      </c>
      <c r="Y39" s="60">
        <v>8</v>
      </c>
      <c r="Z39" s="60">
        <v>7</v>
      </c>
      <c r="AA39" s="60">
        <v>3</v>
      </c>
      <c r="AB39" s="60">
        <v>5</v>
      </c>
      <c r="AC39" s="60">
        <v>1</v>
      </c>
      <c r="AD39" s="60">
        <v>5</v>
      </c>
      <c r="AI39" s="412">
        <v>98</v>
      </c>
    </row>
    <row r="40" spans="2:35" ht="18.75" customHeight="1" x14ac:dyDescent="0.15">
      <c r="B40" s="92" t="s">
        <v>36</v>
      </c>
      <c r="C40" s="70">
        <f>IFERROR(INDEX(退院予定有無×疾患名＿寛解・院内寛解[#All],MATCH($AI40,退院予定有無×疾患名＿寛解・院内寛解[[#All],[行ラベル]],0),MATCH($AJ$4,退院予定有無×疾患名＿寛解・院内寛解[#Headers],0)),0)+IFERROR(INDEX(退院予定有無×疾患名＿寛解・院内寛解[#All],MATCH($AI40,退院予定有無×疾患名＿寛解・院内寛解[[#All],[行ラベル]],0),MATCH($AK$4,退院予定有無×疾患名＿寛解・院内寛解[#Headers],0)),0)</f>
        <v>79</v>
      </c>
      <c r="D40" s="69">
        <f>IFERROR(C40/C$41,"-")</f>
        <v>0.55633802816901412</v>
      </c>
      <c r="E40" s="70">
        <f>IFERROR(INDEX(退院予定有無×疾患名＿寛解・院内寛解[#All],MATCH($AI40,退院予定有無×疾患名＿寛解・院内寛解[[#All],[行ラベル]],0),MATCH($AL$4,退院予定有無×疾患名＿寛解・院内寛解[#Headers],0)),0)</f>
        <v>75</v>
      </c>
      <c r="F40" s="69">
        <f>IFERROR(E40/E$41,"-")</f>
        <v>0.48076923076923078</v>
      </c>
      <c r="G40" s="70">
        <f>IFERROR(INDEX(退院予定有無×疾患名＿寛解・院内寛解[#All],MATCH($AI40,退院予定有無×疾患名＿寛解・院内寛解[[#All],[行ラベル]],0),MATCH($AP$4,退院予定有無×疾患名＿寛解・院内寛解[#Headers],0)),0)</f>
        <v>285</v>
      </c>
      <c r="H40" s="69">
        <f>IFERROR(G40/G$41,"-")</f>
        <v>0.4031117397454031</v>
      </c>
      <c r="I40" s="70">
        <f>IFERROR(INDEX(退院予定有無×疾患名＿寛解・院内寛解[#All],MATCH($AI40,退院予定有無×疾患名＿寛解・院内寛解[[#All],[行ラベル]],0),MATCH($AQ$4,退院予定有無×疾患名＿寛解・院内寛解[#Headers],0)),0)+IFERROR(INDEX(退院予定有無×疾患名＿寛解・院内寛解[#All],MATCH($AI40,退院予定有無×疾患名＿寛解・院内寛解[[#All],[行ラベル]],0),MATCH($AR$4,退院予定有無×疾患名＿寛解・院内寛解[#Headers],0)),0)</f>
        <v>165</v>
      </c>
      <c r="J40" s="69">
        <f>IFERROR(I40/I$41,"-")</f>
        <v>0.49848942598187312</v>
      </c>
      <c r="K40" s="39">
        <f>C41+E41+G41+I41</f>
        <v>1336</v>
      </c>
      <c r="L40" s="34">
        <v>99</v>
      </c>
      <c r="M40" s="60">
        <v>66</v>
      </c>
      <c r="N40" s="66">
        <v>13</v>
      </c>
      <c r="O40" s="66">
        <v>75</v>
      </c>
      <c r="P40" s="60">
        <v>123</v>
      </c>
      <c r="Q40" s="60">
        <v>5</v>
      </c>
      <c r="R40" s="60">
        <v>10</v>
      </c>
      <c r="S40" s="60">
        <v>285</v>
      </c>
      <c r="T40" s="60">
        <v>68</v>
      </c>
      <c r="U40" s="60">
        <v>97</v>
      </c>
      <c r="V40" s="60">
        <v>46</v>
      </c>
      <c r="W40" s="60">
        <v>10</v>
      </c>
      <c r="X40" s="60">
        <v>7</v>
      </c>
      <c r="Y40" s="60">
        <v>15</v>
      </c>
      <c r="Z40" s="60">
        <v>11</v>
      </c>
      <c r="AA40" s="60">
        <v>4</v>
      </c>
      <c r="AB40" s="60">
        <v>12</v>
      </c>
      <c r="AC40" s="60">
        <v>4</v>
      </c>
      <c r="AD40" s="599">
        <v>7</v>
      </c>
      <c r="AI40" s="412">
        <v>99</v>
      </c>
    </row>
    <row r="41" spans="2:35" ht="18.75" customHeight="1" x14ac:dyDescent="0.15">
      <c r="B41" s="93" t="s">
        <v>161</v>
      </c>
      <c r="C41" s="94">
        <f t="shared" ref="C41:J41" si="6">SUM(C38:C40)</f>
        <v>142</v>
      </c>
      <c r="D41" s="95">
        <f t="shared" si="6"/>
        <v>1</v>
      </c>
      <c r="E41" s="96">
        <f t="shared" si="6"/>
        <v>156</v>
      </c>
      <c r="F41" s="95">
        <f t="shared" si="6"/>
        <v>1</v>
      </c>
      <c r="G41" s="96">
        <f t="shared" si="6"/>
        <v>707</v>
      </c>
      <c r="H41" s="95">
        <f t="shared" si="6"/>
        <v>1</v>
      </c>
      <c r="I41" s="96">
        <f t="shared" si="6"/>
        <v>331</v>
      </c>
      <c r="J41" s="95">
        <f t="shared" si="6"/>
        <v>1</v>
      </c>
      <c r="K41" s="39"/>
      <c r="L41" s="34"/>
      <c r="M41" s="43"/>
      <c r="N41" s="43"/>
      <c r="O41" s="43"/>
      <c r="P41" s="43"/>
      <c r="Q41" s="43"/>
      <c r="R41" s="43"/>
      <c r="S41" s="43"/>
      <c r="T41" s="43"/>
      <c r="U41" s="43"/>
      <c r="V41" s="43"/>
      <c r="W41" s="43"/>
      <c r="X41" s="43"/>
      <c r="Y41" s="43"/>
      <c r="Z41" s="43"/>
      <c r="AA41" s="43"/>
      <c r="AB41" s="43"/>
      <c r="AI41" s="412"/>
    </row>
    <row r="42" spans="2:35" ht="18.75" customHeight="1" thickBot="1" x14ac:dyDescent="0.2">
      <c r="B42" s="97"/>
      <c r="C42" s="98"/>
      <c r="D42" s="99"/>
      <c r="E42" s="100"/>
      <c r="F42" s="99"/>
      <c r="G42" s="100"/>
      <c r="H42" s="99"/>
      <c r="I42" s="100"/>
      <c r="J42" s="99"/>
      <c r="K42" s="39"/>
      <c r="AI42" s="412"/>
    </row>
    <row r="43" spans="2:35" ht="18.75" customHeight="1" thickTop="1" thickBot="1" x14ac:dyDescent="0.2">
      <c r="B43" s="101" t="s">
        <v>242</v>
      </c>
      <c r="C43" s="711"/>
      <c r="D43" s="712"/>
      <c r="E43" s="712"/>
      <c r="F43" s="712"/>
      <c r="G43" s="712"/>
      <c r="H43" s="712"/>
      <c r="I43" s="712"/>
      <c r="J43" s="713"/>
      <c r="K43" s="39">
        <f>C44+E44+G44+I44</f>
        <v>476</v>
      </c>
      <c r="L43" s="502" t="s">
        <v>370</v>
      </c>
      <c r="M43" s="87" t="s">
        <v>295</v>
      </c>
      <c r="N43" s="87" t="s">
        <v>284</v>
      </c>
      <c r="O43" s="87" t="s">
        <v>285</v>
      </c>
      <c r="P43" s="87" t="s">
        <v>286</v>
      </c>
      <c r="Q43" s="87" t="s">
        <v>287</v>
      </c>
      <c r="R43" s="87" t="s">
        <v>288</v>
      </c>
      <c r="S43" s="87" t="s">
        <v>289</v>
      </c>
      <c r="T43" s="87" t="s">
        <v>290</v>
      </c>
      <c r="U43" s="87" t="s">
        <v>291</v>
      </c>
      <c r="V43" s="87" t="s">
        <v>296</v>
      </c>
      <c r="W43" s="87" t="s">
        <v>292</v>
      </c>
      <c r="X43" s="87" t="s">
        <v>293</v>
      </c>
      <c r="Y43" s="87" t="s">
        <v>297</v>
      </c>
      <c r="Z43" s="87" t="s">
        <v>200</v>
      </c>
      <c r="AA43" s="87" t="s">
        <v>18</v>
      </c>
      <c r="AB43" s="87" t="s">
        <v>294</v>
      </c>
      <c r="AC43" s="87" t="s">
        <v>201</v>
      </c>
      <c r="AD43" s="55" t="s">
        <v>586</v>
      </c>
      <c r="AI43" s="412"/>
    </row>
    <row r="44" spans="2:35" ht="18.75" customHeight="1" thickTop="1" x14ac:dyDescent="0.15">
      <c r="B44" s="102" t="s">
        <v>34</v>
      </c>
      <c r="C44" s="89">
        <f>IFERROR(INDEX(阻害要因有無×疾患名＿寛解・院内寛解[#All],MATCH($AI44,阻害要因有無×疾患名＿寛解・院内寛解[[#All],[行ラベル]],0),MATCH($AJ$4,阻害要因有無×疾患名＿寛解・院内寛解[#Headers],0)),0)+IFERROR(INDEX(阻害要因有無×疾患名＿寛解・院内寛解[#All],MATCH($AI44,阻害要因有無×疾患名＿寛解・院内寛解[[#All],[行ラベル]],0),MATCH($AK$4,阻害要因有無×疾患名＿寛解・院内寛解[#Headers],0)),0)</f>
        <v>43</v>
      </c>
      <c r="D44" s="90">
        <f>IFERROR(C44/C$38,"-")</f>
        <v>0.86</v>
      </c>
      <c r="E44" s="89">
        <f>IFERROR(INDEX(阻害要因有無×疾患名＿寛解・院内寛解[#All],MATCH($AI44,阻害要因有無×疾患名＿寛解・院内寛解[[#All],[行ラベル]],0),MATCH($AL$4,阻害要因有無×疾患名＿寛解・院内寛解[#Headers],0)),0)</f>
        <v>51</v>
      </c>
      <c r="F44" s="90">
        <f>IFERROR(E44/E$38,"-")</f>
        <v>0.9107142857142857</v>
      </c>
      <c r="G44" s="89">
        <f>IFERROR(INDEX(阻害要因有無×疾患名＿寛解・院内寛解[#All],MATCH($AI44,阻害要因有無×疾患名＿寛解・院内寛解[[#All],[行ラベル]],0),MATCH($AP$4,阻害要因有無×疾患名＿寛解・院内寛解[#Headers],0)),0)</f>
        <v>275</v>
      </c>
      <c r="H44" s="90">
        <f>IFERROR(G44/G$38,"-")</f>
        <v>0.86750788643533128</v>
      </c>
      <c r="I44" s="89">
        <f>IFERROR(INDEX(阻害要因有無×疾患名＿寛解・院内寛解[#All],MATCH($AI44,阻害要因有無×疾患名＿寛解・院内寛解[[#All],[行ラベル]],0),MATCH($AQ$4,阻害要因有無×疾患名＿寛解・院内寛解[#Headers],0)),0)+IFERROR(INDEX(阻害要因有無×疾患名＿寛解・院内寛解[#All],MATCH($AI44,阻害要因有無×疾患名＿寛解・院内寛解[[#All],[行ラベル]],0),MATCH($AR$4,阻害要因有無×疾患名＿寛解・院内寛解[#Headers],0)),0)</f>
        <v>107</v>
      </c>
      <c r="J44" s="90">
        <f>IFERROR(I44/I$38,"-")</f>
        <v>0.81679389312977102</v>
      </c>
      <c r="K44" s="39">
        <f>C45+E45+G45+I45</f>
        <v>78</v>
      </c>
      <c r="L44" s="34">
        <v>91</v>
      </c>
      <c r="M44" s="60">
        <v>37</v>
      </c>
      <c r="N44" s="66">
        <v>6</v>
      </c>
      <c r="O44" s="66">
        <v>51</v>
      </c>
      <c r="P44" s="60">
        <v>49</v>
      </c>
      <c r="Q44" s="60">
        <v>275</v>
      </c>
      <c r="R44" s="60">
        <v>57</v>
      </c>
      <c r="S44" s="60">
        <v>50</v>
      </c>
      <c r="T44" s="60">
        <v>21</v>
      </c>
      <c r="U44" s="60"/>
      <c r="V44" s="60">
        <v>6</v>
      </c>
      <c r="W44" s="60">
        <v>4</v>
      </c>
      <c r="X44" s="60">
        <v>5</v>
      </c>
      <c r="Y44" s="60">
        <v>2</v>
      </c>
      <c r="Z44" s="60">
        <v>3</v>
      </c>
      <c r="AA44" s="60">
        <v>5</v>
      </c>
      <c r="AB44" s="60">
        <v>1</v>
      </c>
      <c r="AC44" s="60">
        <v>1</v>
      </c>
      <c r="AD44" s="598"/>
      <c r="AI44" s="412">
        <v>91</v>
      </c>
    </row>
    <row r="45" spans="2:35" ht="18.75" customHeight="1" x14ac:dyDescent="0.15">
      <c r="B45" s="92" t="s">
        <v>35</v>
      </c>
      <c r="C45" s="70">
        <f>IFERROR(INDEX(阻害要因有無×疾患名＿寛解・院内寛解[#All],MATCH($AI45,阻害要因有無×疾患名＿寛解・院内寛解[[#All],[行ラベル]],0),MATCH($AJ$4,阻害要因有無×疾患名＿寛解・院内寛解[#Headers],0)),0)+IFERROR(INDEX(阻害要因有無×疾患名＿寛解・院内寛解[#All],MATCH($AI45,阻害要因有無×疾患名＿寛解・院内寛解[[#All],[行ラベル]],0),MATCH($AK$4,阻害要因有無×疾患名＿寛解・院内寛解[#Headers],0)),0)</f>
        <v>7</v>
      </c>
      <c r="D45" s="69">
        <f>IFERROR(C45/C$38,"-")</f>
        <v>0.14000000000000001</v>
      </c>
      <c r="E45" s="70">
        <f>IFERROR(INDEX(阻害要因有無×疾患名＿寛解・院内寛解[#All],MATCH($AI45,阻害要因有無×疾患名＿寛解・院内寛解[[#All],[行ラベル]],0),MATCH($AL$4,阻害要因有無×疾患名＿寛解・院内寛解[#Headers],0)),0)</f>
        <v>5</v>
      </c>
      <c r="F45" s="69">
        <f>IFERROR(E45/E$38,"-")</f>
        <v>8.9285714285714288E-2</v>
      </c>
      <c r="G45" s="70">
        <f>IFERROR(INDEX(阻害要因有無×疾患名＿寛解・院内寛解[#All],MATCH($AI45,阻害要因有無×疾患名＿寛解・院内寛解[[#All],[行ラベル]],0),MATCH($AP$4,阻害要因有無×疾患名＿寛解・院内寛解[#Headers],0)),0)</f>
        <v>42</v>
      </c>
      <c r="H45" s="69">
        <f>IFERROR(G45/G$38,"-")</f>
        <v>0.13249211356466878</v>
      </c>
      <c r="I45" s="70">
        <f>IFERROR(INDEX(阻害要因有無×疾患名＿寛解・院内寛解[#All],MATCH($AI45,阻害要因有無×疾患名＿寛解・院内寛解[[#All],[行ラベル]],0),MATCH($AQ$4,阻害要因有無×疾患名＿寛解・院内寛解[#Headers],0)),0)+IFERROR(INDEX(阻害要因有無×疾患名＿寛解・院内寛解[#All],MATCH($AI45,阻害要因有無×疾患名＿寛解・院内寛解[[#All],[行ラベル]],0),MATCH($AR$4,阻害要因有無×疾患名＿寛解・院内寛解[#Headers],0)),0)</f>
        <v>24</v>
      </c>
      <c r="J45" s="69">
        <f>IFERROR(I45/I$38,"-")</f>
        <v>0.18320610687022901</v>
      </c>
      <c r="K45" s="39"/>
      <c r="L45" s="34">
        <v>90</v>
      </c>
      <c r="M45" s="60">
        <v>7</v>
      </c>
      <c r="N45" s="66"/>
      <c r="O45" s="66">
        <v>5</v>
      </c>
      <c r="P45" s="60">
        <v>10</v>
      </c>
      <c r="Q45" s="60">
        <v>42</v>
      </c>
      <c r="R45" s="60">
        <v>12</v>
      </c>
      <c r="S45" s="60">
        <v>12</v>
      </c>
      <c r="T45" s="60">
        <v>6</v>
      </c>
      <c r="U45" s="60">
        <v>1</v>
      </c>
      <c r="V45" s="60">
        <v>2</v>
      </c>
      <c r="W45" s="60">
        <v>4</v>
      </c>
      <c r="X45" s="60">
        <v>2</v>
      </c>
      <c r="Y45" s="60">
        <v>1</v>
      </c>
      <c r="Z45" s="60"/>
      <c r="AA45" s="60"/>
      <c r="AB45" s="60"/>
      <c r="AC45" s="60">
        <v>2</v>
      </c>
      <c r="AD45" s="599"/>
      <c r="AI45" s="412">
        <v>90</v>
      </c>
    </row>
    <row r="46" spans="2:35" ht="19.5" customHeight="1" thickBot="1" x14ac:dyDescent="0.2">
      <c r="B46" s="103" t="s">
        <v>264</v>
      </c>
      <c r="C46" s="688"/>
      <c r="D46" s="689"/>
      <c r="E46" s="689"/>
      <c r="F46" s="689"/>
      <c r="G46" s="689"/>
      <c r="H46" s="689"/>
      <c r="I46" s="689"/>
      <c r="J46" s="690"/>
      <c r="K46" s="39">
        <f t="shared" ref="K46:K63" si="7">C48+E48+G48+I48</f>
        <v>144</v>
      </c>
    </row>
    <row r="47" spans="2:35" ht="18.75" customHeight="1" thickTop="1" thickBot="1" x14ac:dyDescent="0.2">
      <c r="B47" s="691" t="s">
        <v>274</v>
      </c>
      <c r="C47" s="692"/>
      <c r="D47" s="692"/>
      <c r="E47" s="692"/>
      <c r="F47" s="692"/>
      <c r="G47" s="692"/>
      <c r="H47" s="692"/>
      <c r="I47" s="692"/>
      <c r="J47" s="693"/>
      <c r="K47" s="39">
        <f t="shared" si="7"/>
        <v>100</v>
      </c>
      <c r="L47" s="502" t="s">
        <v>585</v>
      </c>
      <c r="M47" s="87" t="s">
        <v>295</v>
      </c>
      <c r="N47" s="87" t="s">
        <v>284</v>
      </c>
      <c r="O47" s="87" t="s">
        <v>285</v>
      </c>
      <c r="P47" s="87" t="s">
        <v>286</v>
      </c>
      <c r="Q47" s="87" t="s">
        <v>200</v>
      </c>
      <c r="R47" s="87" t="s">
        <v>201</v>
      </c>
      <c r="S47" s="87" t="s">
        <v>287</v>
      </c>
      <c r="T47" s="87" t="s">
        <v>288</v>
      </c>
      <c r="U47" s="87" t="s">
        <v>289</v>
      </c>
      <c r="V47" s="87" t="s">
        <v>290</v>
      </c>
      <c r="W47" s="87" t="s">
        <v>291</v>
      </c>
      <c r="X47" s="87" t="s">
        <v>296</v>
      </c>
      <c r="Y47" s="87" t="s">
        <v>292</v>
      </c>
      <c r="Z47" s="87" t="s">
        <v>293</v>
      </c>
      <c r="AA47" s="87" t="s">
        <v>297</v>
      </c>
      <c r="AB47" s="87" t="s">
        <v>18</v>
      </c>
      <c r="AC47" s="87" t="s">
        <v>294</v>
      </c>
      <c r="AD47" s="43" t="s">
        <v>586</v>
      </c>
    </row>
    <row r="48" spans="2:35" ht="37.5" customHeight="1" thickTop="1" x14ac:dyDescent="0.15">
      <c r="B48" s="104" t="s">
        <v>235</v>
      </c>
      <c r="C48" s="63">
        <f>IFERROR(INDEX(阻害要因×疾患名＿寛解・院内寛解[#All],MATCH($AI48,阻害要因×疾患名＿寛解・院内寛解[[#All],[値]],0),MATCH($AJ$4,阻害要因×疾患名＿寛解・院内寛解[#Headers],0)),0)+IFERROR(INDEX(阻害要因×疾患名＿寛解・院内寛解[#All],MATCH($AI48,阻害要因×疾患名＿寛解・院内寛解[[#All],[値]],0),MATCH($AK$4,阻害要因×疾患名＿寛解・院内寛解[#Headers],0)),0)</f>
        <v>12</v>
      </c>
      <c r="D48" s="64">
        <f t="shared" ref="D48:D65" si="8">IFERROR(C48/C$44,"-")</f>
        <v>0.27906976744186046</v>
      </c>
      <c r="E48" s="65">
        <f>IFERROR(INDEX(阻害要因×疾患名＿寛解・院内寛解[#All],MATCH($AI48,阻害要因×疾患名＿寛解・院内寛解[[#All],[値]],0),MATCH($AL$4,阻害要因×疾患名＿寛解・院内寛解[#Headers],0)),0)</f>
        <v>12</v>
      </c>
      <c r="F48" s="64">
        <f t="shared" ref="F48:F65" si="9">IFERROR(E48/E$44,"-")</f>
        <v>0.23529411764705882</v>
      </c>
      <c r="G48" s="65">
        <f>IFERROR(INDEX(阻害要因×疾患名＿寛解・院内寛解[#All],MATCH($AI48,阻害要因×疾患名＿寛解・院内寛解[[#All],[値]],0),MATCH($AP$4,阻害要因×疾患名＿寛解・院内寛解[#Headers],0)),0)</f>
        <v>89</v>
      </c>
      <c r="H48" s="64">
        <f t="shared" ref="H48:H65" si="10">IFERROR(G48/G$44,"-")</f>
        <v>0.32363636363636361</v>
      </c>
      <c r="I48" s="65">
        <f>IFERROR(INDEX(阻害要因×疾患名＿寛解・院内寛解[#All],MATCH($AI48,阻害要因×疾患名＿寛解・院内寛解[[#All],[値]],0),MATCH($AQ$4,阻害要因×疾患名＿寛解・院内寛解[#Headers],0)),0)+IFERROR(INDEX(阻害要因×疾患名＿寛解・院内寛解[#All],MATCH($AI48,阻害要因×疾患名＿寛解・院内寛解[[#All],[値]],0),MATCH($AR$4,阻害要因×疾患名＿寛解・院内寛解[#Headers],0)),0)</f>
        <v>31</v>
      </c>
      <c r="J48" s="64">
        <f t="shared" ref="J48:J65" si="11">IFERROR(I48/I$44,"-")</f>
        <v>0.28971962616822428</v>
      </c>
      <c r="K48" s="39">
        <f t="shared" si="7"/>
        <v>15</v>
      </c>
      <c r="L48" s="34" t="s">
        <v>309</v>
      </c>
      <c r="M48" s="60">
        <v>11</v>
      </c>
      <c r="N48" s="66">
        <v>1</v>
      </c>
      <c r="O48" s="66">
        <v>12</v>
      </c>
      <c r="P48" s="60">
        <v>8</v>
      </c>
      <c r="Q48" s="60">
        <v>1</v>
      </c>
      <c r="R48" s="60">
        <v>0</v>
      </c>
      <c r="S48" s="60">
        <v>89</v>
      </c>
      <c r="T48" s="60">
        <v>20</v>
      </c>
      <c r="U48" s="60">
        <v>11</v>
      </c>
      <c r="V48" s="60">
        <v>4</v>
      </c>
      <c r="W48" s="60">
        <v>0</v>
      </c>
      <c r="X48" s="60">
        <v>3</v>
      </c>
      <c r="Y48" s="60">
        <v>1</v>
      </c>
      <c r="Z48" s="60">
        <v>1</v>
      </c>
      <c r="AA48" s="60">
        <v>1</v>
      </c>
      <c r="AB48" s="60">
        <v>2</v>
      </c>
      <c r="AC48" s="60">
        <v>0</v>
      </c>
      <c r="AD48" s="598"/>
      <c r="AI48" s="56" t="s">
        <v>309</v>
      </c>
    </row>
    <row r="49" spans="2:35" ht="18.75" customHeight="1" x14ac:dyDescent="0.15">
      <c r="B49" s="105" t="s">
        <v>66</v>
      </c>
      <c r="C49" s="68">
        <f>IFERROR(INDEX(阻害要因×疾患名＿寛解・院内寛解[#All],MATCH($AI49,阻害要因×疾患名＿寛解・院内寛解[[#All],[値]],0),MATCH($AJ$4,阻害要因×疾患名＿寛解・院内寛解[#Headers],0)),0)+IFERROR(INDEX(阻害要因×疾患名＿寛解・院内寛解[#All],MATCH($AI49,阻害要因×疾患名＿寛解・院内寛解[[#All],[値]],0),MATCH($AK$4,阻害要因×疾患名＿寛解・院内寛解[#Headers],0)),0)</f>
        <v>9</v>
      </c>
      <c r="D49" s="73">
        <f t="shared" si="8"/>
        <v>0.20930232558139536</v>
      </c>
      <c r="E49" s="71">
        <f>IFERROR(INDEX(阻害要因×疾患名＿寛解・院内寛解[#All],MATCH($AI49,阻害要因×疾患名＿寛解・院内寛解[[#All],[値]],0),MATCH($AL$4,阻害要因×疾患名＿寛解・院内寛解[#Headers],0)),0)</f>
        <v>6</v>
      </c>
      <c r="F49" s="73">
        <f t="shared" si="9"/>
        <v>0.11764705882352941</v>
      </c>
      <c r="G49" s="70">
        <f>IFERROR(INDEX(阻害要因×疾患名＿寛解・院内寛解[#All],MATCH($AI49,阻害要因×疾患名＿寛解・院内寛解[[#All],[値]],0),MATCH($AP$4,阻害要因×疾患名＿寛解・院内寛解[#Headers],0)),0)</f>
        <v>74</v>
      </c>
      <c r="H49" s="73">
        <f t="shared" si="10"/>
        <v>0.2690909090909091</v>
      </c>
      <c r="I49" s="70">
        <f>IFERROR(INDEX(阻害要因×疾患名＿寛解・院内寛解[#All],MATCH($AI49,阻害要因×疾患名＿寛解・院内寛解[[#All],[値]],0),MATCH($AQ$4,阻害要因×疾患名＿寛解・院内寛解[#Headers],0)),0)+IFERROR(INDEX(阻害要因×疾患名＿寛解・院内寛解[#All],MATCH($AI49,阻害要因×疾患名＿寛解・院内寛解[[#All],[値]],0),MATCH($AR$4,阻害要因×疾患名＿寛解・院内寛解[#Headers],0)),0)</f>
        <v>11</v>
      </c>
      <c r="J49" s="73">
        <f t="shared" si="11"/>
        <v>0.10280373831775701</v>
      </c>
      <c r="K49" s="39">
        <f t="shared" si="7"/>
        <v>181</v>
      </c>
      <c r="L49" s="56" t="s">
        <v>310</v>
      </c>
      <c r="M49" s="66">
        <v>9</v>
      </c>
      <c r="N49" s="66">
        <v>0</v>
      </c>
      <c r="O49" s="66">
        <v>6</v>
      </c>
      <c r="P49" s="60">
        <v>11</v>
      </c>
      <c r="Q49" s="60">
        <v>0</v>
      </c>
      <c r="R49" s="60">
        <v>0</v>
      </c>
      <c r="S49" s="60">
        <v>74</v>
      </c>
      <c r="T49" s="60">
        <v>6</v>
      </c>
      <c r="U49" s="60">
        <v>5</v>
      </c>
      <c r="V49" s="60">
        <v>2</v>
      </c>
      <c r="W49" s="60">
        <v>0</v>
      </c>
      <c r="X49" s="60">
        <v>2</v>
      </c>
      <c r="Y49" s="60">
        <v>1</v>
      </c>
      <c r="Z49" s="60">
        <v>1</v>
      </c>
      <c r="AA49" s="60">
        <v>0</v>
      </c>
      <c r="AB49" s="60">
        <v>1</v>
      </c>
      <c r="AC49" s="60">
        <v>0</v>
      </c>
      <c r="AD49" s="60"/>
      <c r="AI49" s="56" t="s">
        <v>310</v>
      </c>
    </row>
    <row r="50" spans="2:35" ht="18.75" customHeight="1" x14ac:dyDescent="0.15">
      <c r="B50" s="105" t="s">
        <v>38</v>
      </c>
      <c r="C50" s="68">
        <f>IFERROR(INDEX(阻害要因×疾患名＿寛解・院内寛解[#All],MATCH($AI50,阻害要因×疾患名＿寛解・院内寛解[[#All],[値]],0),MATCH($AJ$4,阻害要因×疾患名＿寛解・院内寛解[#Headers],0)),0)+IFERROR(INDEX(阻害要因×疾患名＿寛解・院内寛解[#All],MATCH($AI50,阻害要因×疾患名＿寛解・院内寛解[[#All],[値]],0),MATCH($AK$4,阻害要因×疾患名＿寛解・院内寛解[#Headers],0)),0)</f>
        <v>0</v>
      </c>
      <c r="D50" s="73">
        <f t="shared" si="8"/>
        <v>0</v>
      </c>
      <c r="E50" s="70">
        <f>IFERROR(INDEX(阻害要因×疾患名＿寛解・院内寛解[#All],MATCH($AI50,阻害要因×疾患名＿寛解・院内寛解[[#All],[値]],0),MATCH($AL$4,阻害要因×疾患名＿寛解・院内寛解[#Headers],0)),0)</f>
        <v>1</v>
      </c>
      <c r="F50" s="73">
        <f t="shared" si="9"/>
        <v>1.9607843137254902E-2</v>
      </c>
      <c r="G50" s="70">
        <f>IFERROR(INDEX(阻害要因×疾患名＿寛解・院内寛解[#All],MATCH($AI50,阻害要因×疾患名＿寛解・院内寛解[[#All],[値]],0),MATCH($AP$4,阻害要因×疾患名＿寛解・院内寛解[#Headers],0)),0)</f>
        <v>12</v>
      </c>
      <c r="H50" s="73">
        <f t="shared" si="10"/>
        <v>4.363636363636364E-2</v>
      </c>
      <c r="I50" s="70">
        <f>IFERROR(INDEX(阻害要因×疾患名＿寛解・院内寛解[#All],MATCH($AI50,阻害要因×疾患名＿寛解・院内寛解[[#All],[値]],0),MATCH($AQ$4,阻害要因×疾患名＿寛解・院内寛解[#Headers],0)),0)+IFERROR(INDEX(阻害要因×疾患名＿寛解・院内寛解[#All],MATCH($AI50,阻害要因×疾患名＿寛解・院内寛解[[#All],[値]],0),MATCH($AR$4,阻害要因×疾患名＿寛解・院内寛解[#Headers],0)),0)</f>
        <v>2</v>
      </c>
      <c r="J50" s="73">
        <f t="shared" si="11"/>
        <v>1.8691588785046728E-2</v>
      </c>
      <c r="K50" s="39">
        <f t="shared" si="7"/>
        <v>117</v>
      </c>
      <c r="L50" s="56" t="s">
        <v>166</v>
      </c>
      <c r="M50" s="66">
        <v>0</v>
      </c>
      <c r="N50" s="66">
        <v>0</v>
      </c>
      <c r="O50" s="66">
        <v>1</v>
      </c>
      <c r="P50" s="60">
        <v>1</v>
      </c>
      <c r="Q50" s="60">
        <v>0</v>
      </c>
      <c r="R50" s="60">
        <v>0</v>
      </c>
      <c r="S50" s="60">
        <v>12</v>
      </c>
      <c r="T50" s="60">
        <v>2</v>
      </c>
      <c r="U50" s="60">
        <v>0</v>
      </c>
      <c r="V50" s="60">
        <v>0</v>
      </c>
      <c r="W50" s="60">
        <v>0</v>
      </c>
      <c r="X50" s="60">
        <v>0</v>
      </c>
      <c r="Y50" s="60">
        <v>0</v>
      </c>
      <c r="Z50" s="60">
        <v>0</v>
      </c>
      <c r="AA50" s="60">
        <v>1</v>
      </c>
      <c r="AB50" s="60">
        <v>0</v>
      </c>
      <c r="AC50" s="60">
        <v>0</v>
      </c>
      <c r="AD50" s="60"/>
      <c r="AI50" s="56" t="s">
        <v>166</v>
      </c>
    </row>
    <row r="51" spans="2:35" ht="18.75" customHeight="1" x14ac:dyDescent="0.15">
      <c r="B51" s="105" t="s">
        <v>39</v>
      </c>
      <c r="C51" s="70">
        <f>IFERROR(INDEX(阻害要因×疾患名＿寛解・院内寛解[#All],MATCH($AI51,阻害要因×疾患名＿寛解・院内寛解[[#All],[値]],0),MATCH($AJ$4,阻害要因×疾患名＿寛解・院内寛解[#Headers],0)),0)+IFERROR(INDEX(阻害要因×疾患名＿寛解・院内寛解[#All],MATCH($AI51,阻害要因×疾患名＿寛解・院内寛解[[#All],[値]],0),MATCH($AK$4,阻害要因×疾患名＿寛解・院内寛解[#Headers],0)),0)</f>
        <v>6</v>
      </c>
      <c r="D51" s="69">
        <f t="shared" si="8"/>
        <v>0.13953488372093023</v>
      </c>
      <c r="E51" s="70">
        <f>IFERROR(INDEX(阻害要因×疾患名＿寛解・院内寛解[#All],MATCH($AI51,阻害要因×疾患名＿寛解・院内寛解[[#All],[値]],0),MATCH($AL$4,阻害要因×疾患名＿寛解・院内寛解[#Headers],0)),0)</f>
        <v>15</v>
      </c>
      <c r="F51" s="69">
        <f t="shared" si="9"/>
        <v>0.29411764705882354</v>
      </c>
      <c r="G51" s="70">
        <f>IFERROR(INDEX(阻害要因×疾患名＿寛解・院内寛解[#All],MATCH($AI51,阻害要因×疾患名＿寛解・院内寛解[[#All],[値]],0),MATCH($AP$4,阻害要因×疾患名＿寛解・院内寛解[#Headers],0)),0)</f>
        <v>111</v>
      </c>
      <c r="H51" s="69">
        <f t="shared" si="10"/>
        <v>0.40363636363636363</v>
      </c>
      <c r="I51" s="70">
        <f>IFERROR(INDEX(阻害要因×疾患名＿寛解・院内寛解[#All],MATCH($AI51,阻害要因×疾患名＿寛解・院内寛解[[#All],[値]],0),MATCH($AQ$4,阻害要因×疾患名＿寛解・院内寛解[#Headers],0)),0)+IFERROR(INDEX(阻害要因×疾患名＿寛解・院内寛解[#All],MATCH($AI51,阻害要因×疾患名＿寛解・院内寛解[[#All],[値]],0),MATCH($AR$4,阻害要因×疾患名＿寛解・院内寛解[#Headers],0)),0)</f>
        <v>49</v>
      </c>
      <c r="J51" s="69">
        <f t="shared" si="11"/>
        <v>0.45794392523364486</v>
      </c>
      <c r="K51" s="39">
        <f t="shared" si="7"/>
        <v>146</v>
      </c>
      <c r="L51" s="56" t="s">
        <v>167</v>
      </c>
      <c r="M51" s="66">
        <v>6</v>
      </c>
      <c r="N51" s="66">
        <v>0</v>
      </c>
      <c r="O51" s="66">
        <v>15</v>
      </c>
      <c r="P51" s="60">
        <v>8</v>
      </c>
      <c r="Q51" s="60">
        <v>0</v>
      </c>
      <c r="R51" s="60">
        <v>0</v>
      </c>
      <c r="S51" s="60">
        <v>111</v>
      </c>
      <c r="T51" s="60">
        <v>20</v>
      </c>
      <c r="U51" s="60">
        <v>29</v>
      </c>
      <c r="V51" s="60">
        <v>4</v>
      </c>
      <c r="W51" s="60">
        <v>0</v>
      </c>
      <c r="X51" s="60">
        <v>1</v>
      </c>
      <c r="Y51" s="60">
        <v>1</v>
      </c>
      <c r="Z51" s="60">
        <v>3</v>
      </c>
      <c r="AA51" s="60">
        <v>0</v>
      </c>
      <c r="AB51" s="60">
        <v>1</v>
      </c>
      <c r="AC51" s="60">
        <v>1</v>
      </c>
      <c r="AD51" s="60"/>
      <c r="AI51" s="56" t="s">
        <v>167</v>
      </c>
    </row>
    <row r="52" spans="2:35" ht="18.75" customHeight="1" x14ac:dyDescent="0.15">
      <c r="B52" s="105" t="s">
        <v>40</v>
      </c>
      <c r="C52" s="70">
        <f>IFERROR(INDEX(阻害要因×疾患名＿寛解・院内寛解[#All],MATCH($AI52,阻害要因×疾患名＿寛解・院内寛解[[#All],[値]],0),MATCH($AJ$4,阻害要因×疾患名＿寛解・院内寛解[#Headers],0)),0)+IFERROR(INDEX(阻害要因×疾患名＿寛解・院内寛解[#All],MATCH($AI52,阻害要因×疾患名＿寛解・院内寛解[[#All],[値]],0),MATCH($AK$4,阻害要因×疾患名＿寛解・院内寛解[#Headers],0)),0)</f>
        <v>12</v>
      </c>
      <c r="D52" s="69">
        <f t="shared" si="8"/>
        <v>0.27906976744186046</v>
      </c>
      <c r="E52" s="70">
        <f>IFERROR(INDEX(阻害要因×疾患名＿寛解・院内寛解[#All],MATCH($AI52,阻害要因×疾患名＿寛解・院内寛解[[#All],[値]],0),MATCH($AL$4,阻害要因×疾患名＿寛解・院内寛解[#Headers],0)),0)</f>
        <v>17</v>
      </c>
      <c r="F52" s="69">
        <f t="shared" si="9"/>
        <v>0.33333333333333331</v>
      </c>
      <c r="G52" s="70">
        <f>IFERROR(INDEX(阻害要因×疾患名＿寛解・院内寛解[#All],MATCH($AI52,阻害要因×疾患名＿寛解・院内寛解[[#All],[値]],0),MATCH($AP$4,阻害要因×疾患名＿寛解・院内寛解[#Headers],0)),0)</f>
        <v>74</v>
      </c>
      <c r="H52" s="69">
        <f t="shared" si="10"/>
        <v>0.2690909090909091</v>
      </c>
      <c r="I52" s="70">
        <f>IFERROR(INDEX(阻害要因×疾患名＿寛解・院内寛解[#All],MATCH($AI52,阻害要因×疾患名＿寛解・院内寛解[[#All],[値]],0),MATCH($AQ$4,阻害要因×疾患名＿寛解・院内寛解[#Headers],0)),0)+IFERROR(INDEX(阻害要因×疾患名＿寛解・院内寛解[#All],MATCH($AI52,阻害要因×疾患名＿寛解・院内寛解[[#All],[値]],0),MATCH($AR$4,阻害要因×疾患名＿寛解・院内寛解[#Headers],0)),0)</f>
        <v>14</v>
      </c>
      <c r="J52" s="69">
        <f t="shared" si="11"/>
        <v>0.13084112149532709</v>
      </c>
      <c r="K52" s="39">
        <f t="shared" si="7"/>
        <v>27</v>
      </c>
      <c r="L52" s="56" t="s">
        <v>168</v>
      </c>
      <c r="M52" s="66">
        <v>11</v>
      </c>
      <c r="N52" s="66">
        <v>1</v>
      </c>
      <c r="O52" s="66">
        <v>17</v>
      </c>
      <c r="P52" s="60">
        <v>16</v>
      </c>
      <c r="Q52" s="60">
        <v>0</v>
      </c>
      <c r="R52" s="60">
        <v>0</v>
      </c>
      <c r="S52" s="60">
        <v>74</v>
      </c>
      <c r="T52" s="60">
        <v>5</v>
      </c>
      <c r="U52" s="60">
        <v>9</v>
      </c>
      <c r="V52" s="60">
        <v>2</v>
      </c>
      <c r="W52" s="60">
        <v>0</v>
      </c>
      <c r="X52" s="60">
        <v>0</v>
      </c>
      <c r="Y52" s="60">
        <v>1</v>
      </c>
      <c r="Z52" s="60">
        <v>4</v>
      </c>
      <c r="AA52" s="60">
        <v>0</v>
      </c>
      <c r="AB52" s="60">
        <v>0</v>
      </c>
      <c r="AC52" s="60">
        <v>0</v>
      </c>
      <c r="AD52" s="60"/>
      <c r="AI52" s="56" t="s">
        <v>168</v>
      </c>
    </row>
    <row r="53" spans="2:35" ht="18.75" customHeight="1" x14ac:dyDescent="0.15">
      <c r="B53" s="105" t="s">
        <v>41</v>
      </c>
      <c r="C53" s="72">
        <f>IFERROR(INDEX(阻害要因×疾患名＿寛解・院内寛解[#All],MATCH($AI53,阻害要因×疾患名＿寛解・院内寛解[[#All],[値]],0),MATCH($AJ$4,阻害要因×疾患名＿寛解・院内寛解[#Headers],0)),0)+IFERROR(INDEX(阻害要因×疾患名＿寛解・院内寛解[#All],MATCH($AI53,阻害要因×疾患名＿寛解・院内寛解[[#All],[値]],0),MATCH($AK$4,阻害要因×疾患名＿寛解・院内寛解[#Headers],0)),0)</f>
        <v>5</v>
      </c>
      <c r="D53" s="82">
        <f t="shared" si="8"/>
        <v>0.11627906976744186</v>
      </c>
      <c r="E53" s="72">
        <f>IFERROR(INDEX(阻害要因×疾患名＿寛解・院内寛解[#All],MATCH($AI53,阻害要因×疾患名＿寛解・院内寛解[[#All],[値]],0),MATCH($AL$4,阻害要因×疾患名＿寛解・院内寛解[#Headers],0)),0)</f>
        <v>15</v>
      </c>
      <c r="F53" s="82">
        <f t="shared" si="9"/>
        <v>0.29411764705882354</v>
      </c>
      <c r="G53" s="72">
        <f>IFERROR(INDEX(阻害要因×疾患名＿寛解・院内寛解[#All],MATCH($AI53,阻害要因×疾患名＿寛解・院内寛解[[#All],[値]],0),MATCH($AP$4,阻害要因×疾患名＿寛解・院内寛解[#Headers],0)),0)</f>
        <v>83</v>
      </c>
      <c r="H53" s="82">
        <f t="shared" si="10"/>
        <v>0.30181818181818182</v>
      </c>
      <c r="I53" s="72">
        <f>IFERROR(INDEX(阻害要因×疾患名＿寛解・院内寛解[#All],MATCH($AI53,阻害要因×疾患名＿寛解・院内寛解[[#All],[値]],0),MATCH($AQ$4,阻害要因×疾患名＿寛解・院内寛解[#Headers],0)),0)+IFERROR(INDEX(阻害要因×疾患名＿寛解・院内寛解[#All],MATCH($AI53,阻害要因×疾患名＿寛解・院内寛解[[#All],[値]],0),MATCH($AR$4,阻害要因×疾患名＿寛解・院内寛解[#Headers],0)),0)</f>
        <v>43</v>
      </c>
      <c r="J53" s="82">
        <f t="shared" si="11"/>
        <v>0.40186915887850466</v>
      </c>
      <c r="K53" s="39">
        <f t="shared" si="7"/>
        <v>100</v>
      </c>
      <c r="L53" s="56" t="s">
        <v>169</v>
      </c>
      <c r="M53" s="66">
        <v>5</v>
      </c>
      <c r="N53" s="66">
        <v>0</v>
      </c>
      <c r="O53" s="66">
        <v>15</v>
      </c>
      <c r="P53" s="60">
        <v>6</v>
      </c>
      <c r="Q53" s="60">
        <v>0</v>
      </c>
      <c r="R53" s="60">
        <v>0</v>
      </c>
      <c r="S53" s="60">
        <v>83</v>
      </c>
      <c r="T53" s="60">
        <v>17</v>
      </c>
      <c r="U53" s="60">
        <v>26</v>
      </c>
      <c r="V53" s="60">
        <v>6</v>
      </c>
      <c r="W53" s="60">
        <v>0</v>
      </c>
      <c r="X53" s="60">
        <v>1</v>
      </c>
      <c r="Y53" s="60">
        <v>1</v>
      </c>
      <c r="Z53" s="60">
        <v>2</v>
      </c>
      <c r="AA53" s="60">
        <v>0</v>
      </c>
      <c r="AB53" s="60">
        <v>2</v>
      </c>
      <c r="AC53" s="60">
        <v>1</v>
      </c>
      <c r="AD53" s="60"/>
      <c r="AI53" s="56" t="s">
        <v>169</v>
      </c>
    </row>
    <row r="54" spans="2:35" ht="18.75" customHeight="1" x14ac:dyDescent="0.15">
      <c r="B54" s="105" t="s">
        <v>42</v>
      </c>
      <c r="C54" s="70">
        <f>IFERROR(INDEX(阻害要因×疾患名＿寛解・院内寛解[#All],MATCH($AI54,阻害要因×疾患名＿寛解・院内寛解[[#All],[値]],0),MATCH($AJ$4,阻害要因×疾患名＿寛解・院内寛解[#Headers],0)),0)+IFERROR(INDEX(阻害要因×疾患名＿寛解・院内寛解[#All],MATCH($AI54,阻害要因×疾患名＿寛解・院内寛解[[#All],[値]],0),MATCH($AK$4,阻害要因×疾患名＿寛解・院内寛解[#Headers],0)),0)</f>
        <v>3</v>
      </c>
      <c r="D54" s="69">
        <f t="shared" si="8"/>
        <v>6.9767441860465115E-2</v>
      </c>
      <c r="E54" s="70">
        <f>IFERROR(INDEX(阻害要因×疾患名＿寛解・院内寛解[#All],MATCH($AI54,阻害要因×疾患名＿寛解・院内寛解[[#All],[値]],0),MATCH($AL$4,阻害要因×疾患名＿寛解・院内寛解[#Headers],0)),0)</f>
        <v>1</v>
      </c>
      <c r="F54" s="69">
        <f t="shared" si="9"/>
        <v>1.9607843137254902E-2</v>
      </c>
      <c r="G54" s="70">
        <f>IFERROR(INDEX(阻害要因×疾患名＿寛解・院内寛解[#All],MATCH($AI54,阻害要因×疾患名＿寛解・院内寛解[[#All],[値]],0),MATCH($AP$4,阻害要因×疾患名＿寛解・院内寛解[#Headers],0)),0)</f>
        <v>18</v>
      </c>
      <c r="H54" s="69">
        <f t="shared" si="10"/>
        <v>6.545454545454546E-2</v>
      </c>
      <c r="I54" s="70">
        <f>IFERROR(INDEX(阻害要因×疾患名＿寛解・院内寛解[#All],MATCH($AI54,阻害要因×疾患名＿寛解・院内寛解[[#All],[値]],0),MATCH($AQ$4,阻害要因×疾患名＿寛解・院内寛解[#Headers],0)),0)+IFERROR(INDEX(阻害要因×疾患名＿寛解・院内寛解[#All],MATCH($AI54,阻害要因×疾患名＿寛解・院内寛解[[#All],[値]],0),MATCH($AR$4,阻害要因×疾患名＿寛解・院内寛解[#Headers],0)),0)</f>
        <v>5</v>
      </c>
      <c r="J54" s="69">
        <f t="shared" si="11"/>
        <v>4.6728971962616821E-2</v>
      </c>
      <c r="K54" s="39">
        <f t="shared" si="7"/>
        <v>76</v>
      </c>
      <c r="L54" s="56" t="s">
        <v>170</v>
      </c>
      <c r="M54" s="66">
        <v>3</v>
      </c>
      <c r="N54" s="66">
        <v>0</v>
      </c>
      <c r="O54" s="66">
        <v>1</v>
      </c>
      <c r="P54" s="60">
        <v>2</v>
      </c>
      <c r="Q54" s="60">
        <v>0</v>
      </c>
      <c r="R54" s="60">
        <v>0</v>
      </c>
      <c r="S54" s="60">
        <v>18</v>
      </c>
      <c r="T54" s="60">
        <v>1</v>
      </c>
      <c r="U54" s="60">
        <v>4</v>
      </c>
      <c r="V54" s="60">
        <v>1</v>
      </c>
      <c r="W54" s="60">
        <v>0</v>
      </c>
      <c r="X54" s="60">
        <v>1</v>
      </c>
      <c r="Y54" s="60">
        <v>0</v>
      </c>
      <c r="Z54" s="60">
        <v>1</v>
      </c>
      <c r="AA54" s="60">
        <v>0</v>
      </c>
      <c r="AB54" s="60">
        <v>0</v>
      </c>
      <c r="AC54" s="60">
        <v>0</v>
      </c>
      <c r="AD54" s="60"/>
      <c r="AI54" s="56" t="s">
        <v>170</v>
      </c>
    </row>
    <row r="55" spans="2:35" ht="18.75" customHeight="1" x14ac:dyDescent="0.15">
      <c r="B55" s="105" t="s">
        <v>43</v>
      </c>
      <c r="C55" s="70">
        <f>IFERROR(INDEX(阻害要因×疾患名＿寛解・院内寛解[#All],MATCH($AI55,阻害要因×疾患名＿寛解・院内寛解[[#All],[値]],0),MATCH($AJ$4,阻害要因×疾患名＿寛解・院内寛解[#Headers],0)),0)+IFERROR(INDEX(阻害要因×疾患名＿寛解・院内寛解[#All],MATCH($AI55,阻害要因×疾患名＿寛解・院内寛解[[#All],[値]],0),MATCH($AK$4,阻害要因×疾患名＿寛解・院内寛解[#Headers],0)),0)</f>
        <v>7</v>
      </c>
      <c r="D55" s="69">
        <f t="shared" si="8"/>
        <v>0.16279069767441862</v>
      </c>
      <c r="E55" s="70">
        <f>IFERROR(INDEX(阻害要因×疾患名＿寛解・院内寛解[#All],MATCH($AI55,阻害要因×疾患名＿寛解・院内寛解[[#All],[値]],0),MATCH($AL$4,阻害要因×疾患名＿寛解・院内寛解[#Headers],0)),0)</f>
        <v>15</v>
      </c>
      <c r="F55" s="69">
        <f t="shared" si="9"/>
        <v>0.29411764705882354</v>
      </c>
      <c r="G55" s="70">
        <f>IFERROR(INDEX(阻害要因×疾患名＿寛解・院内寛解[#All],MATCH($AI55,阻害要因×疾患名＿寛解・院内寛解[[#All],[値]],0),MATCH($AP$4,阻害要因×疾患名＿寛解・院内寛解[#Headers],0)),0)</f>
        <v>55</v>
      </c>
      <c r="H55" s="69">
        <f t="shared" si="10"/>
        <v>0.2</v>
      </c>
      <c r="I55" s="70">
        <f>IFERROR(INDEX(阻害要因×疾患名＿寛解・院内寛解[#All],MATCH($AI55,阻害要因×疾患名＿寛解・院内寛解[[#All],[値]],0),MATCH($AQ$4,阻害要因×疾患名＿寛解・院内寛解[#Headers],0)),0)+IFERROR(INDEX(阻害要因×疾患名＿寛解・院内寛解[#All],MATCH($AI55,阻害要因×疾患名＿寛解・院内寛解[[#All],[値]],0),MATCH($AR$4,阻害要因×疾患名＿寛解・院内寛解[#Headers],0)),0)</f>
        <v>23</v>
      </c>
      <c r="J55" s="69">
        <f t="shared" si="11"/>
        <v>0.21495327102803738</v>
      </c>
      <c r="K55" s="39">
        <f t="shared" si="7"/>
        <v>97</v>
      </c>
      <c r="L55" s="56" t="s">
        <v>171</v>
      </c>
      <c r="M55" s="66">
        <v>7</v>
      </c>
      <c r="N55" s="66">
        <v>0</v>
      </c>
      <c r="O55" s="66">
        <v>15</v>
      </c>
      <c r="P55" s="60">
        <v>7</v>
      </c>
      <c r="Q55" s="60">
        <v>0</v>
      </c>
      <c r="R55" s="60">
        <v>0</v>
      </c>
      <c r="S55" s="60">
        <v>55</v>
      </c>
      <c r="T55" s="60">
        <v>9</v>
      </c>
      <c r="U55" s="60">
        <v>14</v>
      </c>
      <c r="V55" s="60">
        <v>5</v>
      </c>
      <c r="W55" s="60">
        <v>0</v>
      </c>
      <c r="X55" s="60">
        <v>1</v>
      </c>
      <c r="Y55" s="60">
        <v>2</v>
      </c>
      <c r="Z55" s="60">
        <v>2</v>
      </c>
      <c r="AA55" s="60">
        <v>0</v>
      </c>
      <c r="AB55" s="60">
        <v>0</v>
      </c>
      <c r="AC55" s="60">
        <v>1</v>
      </c>
      <c r="AD55" s="60"/>
      <c r="AI55" s="56" t="s">
        <v>171</v>
      </c>
    </row>
    <row r="56" spans="2:35" ht="18.75" customHeight="1" x14ac:dyDescent="0.15">
      <c r="B56" s="105" t="s">
        <v>44</v>
      </c>
      <c r="C56" s="70">
        <f>IFERROR(INDEX(阻害要因×疾患名＿寛解・院内寛解[#All],MATCH($AI56,阻害要因×疾患名＿寛解・院内寛解[[#All],[値]],0),MATCH($AJ$4,阻害要因×疾患名＿寛解・院内寛解[#Headers],0)),0)+IFERROR(INDEX(阻害要因×疾患名＿寛解・院内寛解[#All],MATCH($AI56,阻害要因×疾患名＿寛解・院内寛解[[#All],[値]],0),MATCH($AK$4,阻害要因×疾患名＿寛解・院内寛解[#Headers],0)),0)</f>
        <v>4</v>
      </c>
      <c r="D56" s="69">
        <f t="shared" si="8"/>
        <v>9.3023255813953487E-2</v>
      </c>
      <c r="E56" s="70">
        <f>IFERROR(INDEX(阻害要因×疾患名＿寛解・院内寛解[#All],MATCH($AI56,阻害要因×疾患名＿寛解・院内寛解[[#All],[値]],0),MATCH($AL$4,阻害要因×疾患名＿寛解・院内寛解[#Headers],0)),0)</f>
        <v>10</v>
      </c>
      <c r="F56" s="69">
        <f t="shared" si="9"/>
        <v>0.19607843137254902</v>
      </c>
      <c r="G56" s="70">
        <f>IFERROR(INDEX(阻害要因×疾患名＿寛解・院内寛解[#All],MATCH($AI56,阻害要因×疾患名＿寛解・院内寛解[[#All],[値]],0),MATCH($AP$4,阻害要因×疾患名＿寛解・院内寛解[#Headers],0)),0)</f>
        <v>49</v>
      </c>
      <c r="H56" s="69">
        <f t="shared" si="10"/>
        <v>0.17818181818181819</v>
      </c>
      <c r="I56" s="70">
        <f>IFERROR(INDEX(阻害要因×疾患名＿寛解・院内寛解[#All],MATCH($AI56,阻害要因×疾患名＿寛解・院内寛解[[#All],[値]],0),MATCH($AQ$4,阻害要因×疾患名＿寛解・院内寛解[#Headers],0)),0)+IFERROR(INDEX(阻害要因×疾患名＿寛解・院内寛解[#All],MATCH($AI56,阻害要因×疾患名＿寛解・院内寛解[[#All],[値]],0),MATCH($AR$4,阻害要因×疾患名＿寛解・院内寛解[#Headers],0)),0)</f>
        <v>13</v>
      </c>
      <c r="J56" s="69">
        <f t="shared" si="11"/>
        <v>0.12149532710280374</v>
      </c>
      <c r="K56" s="39">
        <f t="shared" si="7"/>
        <v>196</v>
      </c>
      <c r="L56" s="56" t="s">
        <v>172</v>
      </c>
      <c r="M56" s="66">
        <v>3</v>
      </c>
      <c r="N56" s="66">
        <v>1</v>
      </c>
      <c r="O56" s="66">
        <v>10</v>
      </c>
      <c r="P56" s="60">
        <v>12</v>
      </c>
      <c r="Q56" s="60">
        <v>2</v>
      </c>
      <c r="R56" s="60">
        <v>0</v>
      </c>
      <c r="S56" s="60">
        <v>49</v>
      </c>
      <c r="T56" s="60">
        <v>9</v>
      </c>
      <c r="U56" s="60">
        <v>4</v>
      </c>
      <c r="V56" s="60">
        <v>2</v>
      </c>
      <c r="W56" s="60">
        <v>0</v>
      </c>
      <c r="X56" s="60">
        <v>0</v>
      </c>
      <c r="Y56" s="60">
        <v>1</v>
      </c>
      <c r="Z56" s="60">
        <v>2</v>
      </c>
      <c r="AA56" s="60">
        <v>0</v>
      </c>
      <c r="AB56" s="60">
        <v>0</v>
      </c>
      <c r="AC56" s="60">
        <v>0</v>
      </c>
      <c r="AD56" s="60"/>
      <c r="AI56" s="56" t="s">
        <v>172</v>
      </c>
    </row>
    <row r="57" spans="2:35" ht="18.75" customHeight="1" x14ac:dyDescent="0.15">
      <c r="B57" s="105" t="s">
        <v>246</v>
      </c>
      <c r="C57" s="70">
        <f>IFERROR(INDEX(阻害要因×疾患名＿寛解・院内寛解[#All],MATCH($AI57,阻害要因×疾患名＿寛解・院内寛解[[#All],[値]],0),MATCH($AJ$4,阻害要因×疾患名＿寛解・院内寛解[#Headers],0)),0)+IFERROR(INDEX(阻害要因×疾患名＿寛解・院内寛解[#All],MATCH($AI57,阻害要因×疾患名＿寛解・院内寛解[[#All],[値]],0),MATCH($AK$4,阻害要因×疾患名＿寛解・院内寛解[#Headers],0)),0)</f>
        <v>13</v>
      </c>
      <c r="D57" s="69">
        <f t="shared" si="8"/>
        <v>0.30232558139534882</v>
      </c>
      <c r="E57" s="70">
        <f>IFERROR(INDEX(阻害要因×疾患名＿寛解・院内寛解[#All],MATCH($AI57,阻害要因×疾患名＿寛解・院内寛解[[#All],[値]],0),MATCH($AL$4,阻害要因×疾患名＿寛解・院内寛解[#Headers],0)),0)</f>
        <v>13</v>
      </c>
      <c r="F57" s="69">
        <f t="shared" si="9"/>
        <v>0.25490196078431371</v>
      </c>
      <c r="G57" s="70">
        <f>IFERROR(INDEX(阻害要因×疾患名＿寛解・院内寛解[#All],MATCH($AI57,阻害要因×疾患名＿寛解・院内寛解[[#All],[値]],0),MATCH($AP$4,阻害要因×疾患名＿寛解・院内寛解[#Headers],0)),0)</f>
        <v>54</v>
      </c>
      <c r="H57" s="69">
        <f t="shared" si="10"/>
        <v>0.19636363636363635</v>
      </c>
      <c r="I57" s="70">
        <f>IFERROR(INDEX(阻害要因×疾患名＿寛解・院内寛解[#All],MATCH($AI57,阻害要因×疾患名＿寛解・院内寛解[[#All],[値]],0),MATCH($AQ$4,阻害要因×疾患名＿寛解・院内寛解[#Headers],0)),0)+IFERROR(INDEX(阻害要因×疾患名＿寛解・院内寛解[#All],MATCH($AI57,阻害要因×疾患名＿寛解・院内寛解[[#All],[値]],0),MATCH($AR$4,阻害要因×疾患名＿寛解・院内寛解[#Headers],0)),0)</f>
        <v>17</v>
      </c>
      <c r="J57" s="69">
        <f t="shared" si="11"/>
        <v>0.15887850467289719</v>
      </c>
      <c r="K57" s="39">
        <f t="shared" si="7"/>
        <v>36</v>
      </c>
      <c r="L57" s="56" t="s">
        <v>173</v>
      </c>
      <c r="M57" s="66">
        <v>8</v>
      </c>
      <c r="N57" s="66">
        <v>5</v>
      </c>
      <c r="O57" s="66">
        <v>13</v>
      </c>
      <c r="P57" s="60">
        <v>10</v>
      </c>
      <c r="Q57" s="60">
        <v>0</v>
      </c>
      <c r="R57" s="60">
        <v>0</v>
      </c>
      <c r="S57" s="60">
        <v>54</v>
      </c>
      <c r="T57" s="60">
        <v>10</v>
      </c>
      <c r="U57" s="60">
        <v>7</v>
      </c>
      <c r="V57" s="60">
        <v>6</v>
      </c>
      <c r="W57" s="60">
        <v>0</v>
      </c>
      <c r="X57" s="60">
        <v>2</v>
      </c>
      <c r="Y57" s="60">
        <v>2</v>
      </c>
      <c r="Z57" s="60">
        <v>2</v>
      </c>
      <c r="AA57" s="60">
        <v>0</v>
      </c>
      <c r="AB57" s="60">
        <v>1</v>
      </c>
      <c r="AC57" s="60">
        <v>1</v>
      </c>
      <c r="AD57" s="60"/>
      <c r="AI57" s="56" t="s">
        <v>173</v>
      </c>
    </row>
    <row r="58" spans="2:35" ht="18.75" customHeight="1" x14ac:dyDescent="0.15">
      <c r="B58" s="105" t="s">
        <v>46</v>
      </c>
      <c r="C58" s="106">
        <f>IFERROR(INDEX(阻害要因×疾患名＿寛解・院内寛解[#All],MATCH($AI58,阻害要因×疾患名＿寛解・院内寛解[[#All],[値]],0),MATCH($AJ$4,阻害要因×疾患名＿寛解・院内寛解[#Headers],0)),0)+IFERROR(INDEX(阻害要因×疾患名＿寛解・院内寛解[#All],MATCH($AI58,阻害要因×疾患名＿寛解・院内寛解[[#All],[値]],0),MATCH($AK$4,阻害要因×疾患名＿寛解・院内寛解[#Headers],0)),0)</f>
        <v>26</v>
      </c>
      <c r="D58" s="69">
        <f t="shared" si="8"/>
        <v>0.60465116279069764</v>
      </c>
      <c r="E58" s="70">
        <f>IFERROR(INDEX(阻害要因×疾患名＿寛解・院内寛解[#All],MATCH($AI58,阻害要因×疾患名＿寛解・院内寛解[[#All],[値]],0),MATCH($AL$4,阻害要因×疾患名＿寛解・院内寛解[#Headers],0)),0)</f>
        <v>28</v>
      </c>
      <c r="F58" s="69">
        <f t="shared" si="9"/>
        <v>0.5490196078431373</v>
      </c>
      <c r="G58" s="70">
        <f>IFERROR(INDEX(阻害要因×疾患名＿寛解・院内寛解[#All],MATCH($AI58,阻害要因×疾患名＿寛解・院内寛解[[#All],[値]],0),MATCH($AP$4,阻害要因×疾患名＿寛解・院内寛解[#Headers],0)),0)</f>
        <v>104</v>
      </c>
      <c r="H58" s="69">
        <f t="shared" si="10"/>
        <v>0.37818181818181817</v>
      </c>
      <c r="I58" s="70">
        <f>IFERROR(INDEX(阻害要因×疾患名＿寛解・院内寛解[#All],MATCH($AI58,阻害要因×疾患名＿寛解・院内寛解[[#All],[値]],0),MATCH($AQ$4,阻害要因×疾患名＿寛解・院内寛解[#Headers],0)),0)+IFERROR(INDEX(阻害要因×疾患名＿寛解・院内寛解[#All],MATCH($AI58,阻害要因×疾患名＿寛解・院内寛解[[#All],[値]],0),MATCH($AR$4,阻害要因×疾患名＿寛解・院内寛解[#Headers],0)),0)</f>
        <v>38</v>
      </c>
      <c r="J58" s="69">
        <f t="shared" si="11"/>
        <v>0.35514018691588783</v>
      </c>
      <c r="K58" s="39">
        <f t="shared" si="7"/>
        <v>18</v>
      </c>
      <c r="L58" s="56" t="s">
        <v>174</v>
      </c>
      <c r="M58" s="66">
        <v>24</v>
      </c>
      <c r="N58" s="66">
        <v>2</v>
      </c>
      <c r="O58" s="66">
        <v>28</v>
      </c>
      <c r="P58" s="60">
        <v>24</v>
      </c>
      <c r="Q58" s="60">
        <v>1</v>
      </c>
      <c r="R58" s="60">
        <v>1</v>
      </c>
      <c r="S58" s="60">
        <v>104</v>
      </c>
      <c r="T58" s="60">
        <v>25</v>
      </c>
      <c r="U58" s="60">
        <v>13</v>
      </c>
      <c r="V58" s="60">
        <v>6</v>
      </c>
      <c r="W58" s="60">
        <v>0</v>
      </c>
      <c r="X58" s="60">
        <v>1</v>
      </c>
      <c r="Y58" s="60">
        <v>1</v>
      </c>
      <c r="Z58" s="60">
        <v>2</v>
      </c>
      <c r="AA58" s="60">
        <v>1</v>
      </c>
      <c r="AB58" s="60">
        <v>1</v>
      </c>
      <c r="AC58" s="60">
        <v>0</v>
      </c>
      <c r="AD58" s="60"/>
      <c r="AI58" s="56" t="s">
        <v>174</v>
      </c>
    </row>
    <row r="59" spans="2:35" ht="18.75" customHeight="1" x14ac:dyDescent="0.15">
      <c r="B59" s="105" t="s">
        <v>47</v>
      </c>
      <c r="C59" s="70">
        <f>IFERROR(INDEX(阻害要因×疾患名＿寛解・院内寛解[#All],MATCH($AI59,阻害要因×疾患名＿寛解・院内寛解[[#All],[値]],0),MATCH($AJ$4,阻害要因×疾患名＿寛解・院内寛解[#Headers],0)),0)+IFERROR(INDEX(阻害要因×疾患名＿寛解・院内寛解[#All],MATCH($AI59,阻害要因×疾患名＿寛解・院内寛解[[#All],[値]],0),MATCH($AK$4,阻害要因×疾患名＿寛解・院内寛解[#Headers],0)),0)</f>
        <v>5</v>
      </c>
      <c r="D59" s="69">
        <f t="shared" si="8"/>
        <v>0.11627906976744186</v>
      </c>
      <c r="E59" s="70">
        <f>IFERROR(INDEX(阻害要因×疾患名＿寛解・院内寛解[#All],MATCH($AI59,阻害要因×疾患名＿寛解・院内寛解[[#All],[値]],0),MATCH($AL$4,阻害要因×疾患名＿寛解・院内寛解[#Headers],0)),0)</f>
        <v>3</v>
      </c>
      <c r="F59" s="69">
        <f t="shared" si="9"/>
        <v>5.8823529411764705E-2</v>
      </c>
      <c r="G59" s="70">
        <f>IFERROR(INDEX(阻害要因×疾患名＿寛解・院内寛解[#All],MATCH($AI59,阻害要因×疾患名＿寛解・院内寛解[[#All],[値]],0),MATCH($AP$4,阻害要因×疾患名＿寛解・院内寛解[#Headers],0)),0)</f>
        <v>17</v>
      </c>
      <c r="H59" s="69">
        <f t="shared" si="10"/>
        <v>6.1818181818181821E-2</v>
      </c>
      <c r="I59" s="70">
        <f>IFERROR(INDEX(阻害要因×疾患名＿寛解・院内寛解[#All],MATCH($AI59,阻害要因×疾患名＿寛解・院内寛解[[#All],[値]],0),MATCH($AQ$4,阻害要因×疾患名＿寛解・院内寛解[#Headers],0)),0)+IFERROR(INDEX(阻害要因×疾患名＿寛解・院内寛解[#All],MATCH($AI59,阻害要因×疾患名＿寛解・院内寛解[[#All],[値]],0),MATCH($AR$4,阻害要因×疾患名＿寛解・院内寛解[#Headers],0)),0)</f>
        <v>11</v>
      </c>
      <c r="J59" s="69">
        <f t="shared" si="11"/>
        <v>0.10280373831775701</v>
      </c>
      <c r="K59" s="39">
        <f t="shared" si="7"/>
        <v>3</v>
      </c>
      <c r="L59" s="56" t="s">
        <v>175</v>
      </c>
      <c r="M59" s="66">
        <v>4</v>
      </c>
      <c r="N59" s="66">
        <v>1</v>
      </c>
      <c r="O59" s="66">
        <v>3</v>
      </c>
      <c r="P59" s="60">
        <v>3</v>
      </c>
      <c r="Q59" s="60">
        <v>1</v>
      </c>
      <c r="R59" s="60">
        <v>0</v>
      </c>
      <c r="S59" s="60">
        <v>17</v>
      </c>
      <c r="T59" s="60">
        <v>7</v>
      </c>
      <c r="U59" s="60">
        <v>4</v>
      </c>
      <c r="V59" s="60">
        <v>1</v>
      </c>
      <c r="W59" s="60">
        <v>0</v>
      </c>
      <c r="X59" s="60">
        <v>0</v>
      </c>
      <c r="Y59" s="60">
        <v>0</v>
      </c>
      <c r="Z59" s="60">
        <v>0</v>
      </c>
      <c r="AA59" s="60">
        <v>0</v>
      </c>
      <c r="AB59" s="60">
        <v>0</v>
      </c>
      <c r="AC59" s="60">
        <v>0</v>
      </c>
      <c r="AD59" s="60"/>
      <c r="AI59" s="56" t="s">
        <v>175</v>
      </c>
    </row>
    <row r="60" spans="2:35" ht="18.75" customHeight="1" x14ac:dyDescent="0.15">
      <c r="B60" s="105" t="s">
        <v>48</v>
      </c>
      <c r="C60" s="70">
        <f>IFERROR(INDEX(阻害要因×疾患名＿寛解・院内寛解[#All],MATCH($AI60,阻害要因×疾患名＿寛解・院内寛解[[#All],[値]],0),MATCH($AJ$4,阻害要因×疾患名＿寛解・院内寛解[#Headers],0)),0)+IFERROR(INDEX(阻害要因×疾患名＿寛解・院内寛解[#All],MATCH($AI60,阻害要因×疾患名＿寛解・院内寛解[[#All],[値]],0),MATCH($AK$4,阻害要因×疾患名＿寛解・院内寛解[#Headers],0)),0)</f>
        <v>1</v>
      </c>
      <c r="D60" s="69">
        <f t="shared" si="8"/>
        <v>2.3255813953488372E-2</v>
      </c>
      <c r="E60" s="70">
        <f>IFERROR(INDEX(阻害要因×疾患名＿寛解・院内寛解[#All],MATCH($AI60,阻害要因×疾患名＿寛解・院内寛解[[#All],[値]],0),MATCH($AL$4,阻害要因×疾患名＿寛解・院内寛解[#Headers],0)),0)</f>
        <v>2</v>
      </c>
      <c r="F60" s="69">
        <f t="shared" si="9"/>
        <v>3.9215686274509803E-2</v>
      </c>
      <c r="G60" s="70">
        <f>IFERROR(INDEX(阻害要因×疾患名＿寛解・院内寛解[#All],MATCH($AI60,阻害要因×疾患名＿寛解・院内寛解[[#All],[値]],0),MATCH($AP$4,阻害要因×疾患名＿寛解・院内寛解[#Headers],0)),0)</f>
        <v>13</v>
      </c>
      <c r="H60" s="69">
        <f t="shared" si="10"/>
        <v>4.7272727272727272E-2</v>
      </c>
      <c r="I60" s="70">
        <f>IFERROR(INDEX(阻害要因×疾患名＿寛解・院内寛解[#All],MATCH($AI60,阻害要因×疾患名＿寛解・院内寛解[[#All],[値]],0),MATCH($AQ$4,阻害要因×疾患名＿寛解・院内寛解[#Headers],0)),0)+IFERROR(INDEX(阻害要因×疾患名＿寛解・院内寛解[#All],MATCH($AI60,阻害要因×疾患名＿寛解・院内寛解[[#All],[値]],0),MATCH($AR$4,阻害要因×疾患名＿寛解・院内寛解[#Headers],0)),0)</f>
        <v>2</v>
      </c>
      <c r="J60" s="69">
        <f t="shared" si="11"/>
        <v>1.8691588785046728E-2</v>
      </c>
      <c r="K60" s="39">
        <f t="shared" si="7"/>
        <v>44</v>
      </c>
      <c r="L60" s="56" t="s">
        <v>176</v>
      </c>
      <c r="M60" s="66">
        <v>1</v>
      </c>
      <c r="N60" s="66">
        <v>0</v>
      </c>
      <c r="O60" s="66">
        <v>2</v>
      </c>
      <c r="P60" s="60">
        <v>5</v>
      </c>
      <c r="Q60" s="60">
        <v>0</v>
      </c>
      <c r="R60" s="60">
        <v>0</v>
      </c>
      <c r="S60" s="60">
        <v>13</v>
      </c>
      <c r="T60" s="60">
        <v>1</v>
      </c>
      <c r="U60" s="60">
        <v>1</v>
      </c>
      <c r="V60" s="60">
        <v>1</v>
      </c>
      <c r="W60" s="60">
        <v>0</v>
      </c>
      <c r="X60" s="60">
        <v>1</v>
      </c>
      <c r="Y60" s="60">
        <v>0</v>
      </c>
      <c r="Z60" s="60">
        <v>0</v>
      </c>
      <c r="AA60" s="60">
        <v>0</v>
      </c>
      <c r="AB60" s="60">
        <v>0</v>
      </c>
      <c r="AC60" s="60">
        <v>1</v>
      </c>
      <c r="AD60" s="60"/>
      <c r="AI60" s="56" t="s">
        <v>176</v>
      </c>
    </row>
    <row r="61" spans="2:35" ht="18.75" customHeight="1" x14ac:dyDescent="0.15">
      <c r="B61" s="105" t="s">
        <v>49</v>
      </c>
      <c r="C61" s="68">
        <f>IFERROR(INDEX(阻害要因×疾患名＿寛解・院内寛解[#All],MATCH($AI61,阻害要因×疾患名＿寛解・院内寛解[[#All],[値]],0),MATCH($AJ$4,阻害要因×疾患名＿寛解・院内寛解[#Headers],0)),0)+IFERROR(INDEX(阻害要因×疾患名＿寛解・院内寛解[#All],MATCH($AI61,阻害要因×疾患名＿寛解・院内寛解[[#All],[値]],0),MATCH($AK$4,阻害要因×疾患名＿寛解・院内寛解[#Headers],0)),0)</f>
        <v>0</v>
      </c>
      <c r="D61" s="73">
        <f t="shared" si="8"/>
        <v>0</v>
      </c>
      <c r="E61" s="68">
        <f>IFERROR(INDEX(阻害要因×疾患名＿寛解・院内寛解[#All],MATCH($AI61,阻害要因×疾患名＿寛解・院内寛解[[#All],[値]],0),MATCH($AL$4,阻害要因×疾患名＿寛解・院内寛解[#Headers],0)),0)</f>
        <v>0</v>
      </c>
      <c r="F61" s="73">
        <f t="shared" si="9"/>
        <v>0</v>
      </c>
      <c r="G61" s="68">
        <f>IFERROR(INDEX(阻害要因×疾患名＿寛解・院内寛解[#All],MATCH($AI61,阻害要因×疾患名＿寛解・院内寛解[[#All],[値]],0),MATCH($AP$4,阻害要因×疾患名＿寛解・院内寛解[#Headers],0)),0)</f>
        <v>2</v>
      </c>
      <c r="H61" s="73">
        <f t="shared" si="10"/>
        <v>7.2727272727272727E-3</v>
      </c>
      <c r="I61" s="68">
        <f>IFERROR(INDEX(阻害要因×疾患名＿寛解・院内寛解[#All],MATCH($AI61,阻害要因×疾患名＿寛解・院内寛解[[#All],[値]],0),MATCH($AQ$4,阻害要因×疾患名＿寛解・院内寛解[#Headers],0)),0)+IFERROR(INDEX(阻害要因×疾患名＿寛解・院内寛解[#All],MATCH($AI61,阻害要因×疾患名＿寛解・院内寛解[[#All],[値]],0),MATCH($AR$4,阻害要因×疾患名＿寛解・院内寛解[#Headers],0)),0)</f>
        <v>1</v>
      </c>
      <c r="J61" s="73">
        <f t="shared" si="11"/>
        <v>9.3457943925233638E-3</v>
      </c>
      <c r="K61" s="39">
        <f t="shared" si="7"/>
        <v>48</v>
      </c>
      <c r="L61" s="56" t="s">
        <v>177</v>
      </c>
      <c r="M61" s="66">
        <v>0</v>
      </c>
      <c r="N61" s="60">
        <v>0</v>
      </c>
      <c r="O61" s="60">
        <v>0</v>
      </c>
      <c r="P61" s="60">
        <v>0</v>
      </c>
      <c r="Q61" s="60">
        <v>0</v>
      </c>
      <c r="R61" s="60">
        <v>0</v>
      </c>
      <c r="S61" s="60">
        <v>2</v>
      </c>
      <c r="T61" s="60">
        <v>0</v>
      </c>
      <c r="U61" s="60">
        <v>1</v>
      </c>
      <c r="V61" s="60">
        <v>0</v>
      </c>
      <c r="W61" s="60">
        <v>0</v>
      </c>
      <c r="X61" s="60">
        <v>0</v>
      </c>
      <c r="Y61" s="60">
        <v>0</v>
      </c>
      <c r="Z61" s="60">
        <v>0</v>
      </c>
      <c r="AA61" s="60">
        <v>0</v>
      </c>
      <c r="AB61" s="60">
        <v>0</v>
      </c>
      <c r="AC61" s="60">
        <v>0</v>
      </c>
      <c r="AD61" s="60"/>
      <c r="AI61" s="56" t="s">
        <v>177</v>
      </c>
    </row>
    <row r="62" spans="2:35" ht="18.75" customHeight="1" x14ac:dyDescent="0.15">
      <c r="B62" s="105" t="s">
        <v>50</v>
      </c>
      <c r="C62" s="106">
        <f>IFERROR(INDEX(阻害要因×疾患名＿寛解・院内寛解[#All],MATCH($AI62,阻害要因×疾患名＿寛解・院内寛解[[#All],[値]],0),MATCH($AJ$4,阻害要因×疾患名＿寛解・院内寛解[#Headers],0)),0)+IFERROR(INDEX(阻害要因×疾患名＿寛解・院内寛解[#All],MATCH($AI62,阻害要因×疾患名＿寛解・院内寛解[[#All],[値]],0),MATCH($AK$4,阻害要因×疾患名＿寛解・院内寛解[#Headers],0)),0)</f>
        <v>8</v>
      </c>
      <c r="D62" s="69">
        <f t="shared" si="8"/>
        <v>0.18604651162790697</v>
      </c>
      <c r="E62" s="70">
        <f>IFERROR(INDEX(阻害要因×疾患名＿寛解・院内寛解[#All],MATCH($AI62,阻害要因×疾患名＿寛解・院内寛解[[#All],[値]],0),MATCH($AL$4,阻害要因×疾患名＿寛解・院内寛解[#Headers],0)),0)</f>
        <v>6</v>
      </c>
      <c r="F62" s="69">
        <f t="shared" si="9"/>
        <v>0.11764705882352941</v>
      </c>
      <c r="G62" s="70">
        <f>IFERROR(INDEX(阻害要因×疾患名＿寛解・院内寛解[#All],MATCH($AI62,阻害要因×疾患名＿寛解・院内寛解[[#All],[値]],0),MATCH($AP$4,阻害要因×疾患名＿寛解・院内寛解[#Headers],0)),0)</f>
        <v>26</v>
      </c>
      <c r="H62" s="69">
        <f t="shared" si="10"/>
        <v>9.4545454545454544E-2</v>
      </c>
      <c r="I62" s="70">
        <f>IFERROR(INDEX(阻害要因×疾患名＿寛解・院内寛解[#All],MATCH($AI62,阻害要因×疾患名＿寛解・院内寛解[[#All],[値]],0),MATCH($AQ$4,阻害要因×疾患名＿寛解・院内寛解[#Headers],0)),0)+IFERROR(INDEX(阻害要因×疾患名＿寛解・院内寛解[#All],MATCH($AI62,阻害要因×疾患名＿寛解・院内寛解[[#All],[値]],0),MATCH($AR$4,阻害要因×疾患名＿寛解・院内寛解[#Headers],0)),0)</f>
        <v>4</v>
      </c>
      <c r="J62" s="69">
        <f t="shared" si="11"/>
        <v>3.7383177570093455E-2</v>
      </c>
      <c r="K62" s="39">
        <f t="shared" si="7"/>
        <v>8</v>
      </c>
      <c r="L62" s="56" t="s">
        <v>178</v>
      </c>
      <c r="M62" s="66">
        <v>7</v>
      </c>
      <c r="N62" s="60">
        <v>1</v>
      </c>
      <c r="O62" s="60">
        <v>6</v>
      </c>
      <c r="P62" s="60">
        <v>8</v>
      </c>
      <c r="Q62" s="60">
        <v>0</v>
      </c>
      <c r="R62" s="60">
        <v>0</v>
      </c>
      <c r="S62" s="60">
        <v>26</v>
      </c>
      <c r="T62" s="60">
        <v>1</v>
      </c>
      <c r="U62" s="60">
        <v>3</v>
      </c>
      <c r="V62" s="60">
        <v>5</v>
      </c>
      <c r="W62" s="60">
        <v>0</v>
      </c>
      <c r="X62" s="60">
        <v>1</v>
      </c>
      <c r="Y62" s="60">
        <v>0</v>
      </c>
      <c r="Z62" s="60">
        <v>1</v>
      </c>
      <c r="AA62" s="60">
        <v>0</v>
      </c>
      <c r="AB62" s="60">
        <v>0</v>
      </c>
      <c r="AC62" s="60">
        <v>1</v>
      </c>
      <c r="AD62" s="60"/>
      <c r="AI62" s="56" t="s">
        <v>178</v>
      </c>
    </row>
    <row r="63" spans="2:35" ht="18.75" customHeight="1" x14ac:dyDescent="0.15">
      <c r="B63" s="105" t="s">
        <v>51</v>
      </c>
      <c r="C63" s="106">
        <f>IFERROR(INDEX(阻害要因×疾患名＿寛解・院内寛解[#All],MATCH($AI63,阻害要因×疾患名＿寛解・院内寛解[[#All],[値]],0),MATCH($AJ$4,阻害要因×疾患名＿寛解・院内寛解[#Headers],0)),0)+IFERROR(INDEX(阻害要因×疾患名＿寛解・院内寛解[#All],MATCH($AI63,阻害要因×疾患名＿寛解・院内寛解[[#All],[値]],0),MATCH($AK$4,阻害要因×疾患名＿寛解・院内寛解[#Headers],0)),0)</f>
        <v>4</v>
      </c>
      <c r="D63" s="69">
        <f t="shared" si="8"/>
        <v>9.3023255813953487E-2</v>
      </c>
      <c r="E63" s="70">
        <f>IFERROR(INDEX(阻害要因×疾患名＿寛解・院内寛解[#All],MATCH($AI63,阻害要因×疾患名＿寛解・院内寛解[[#All],[値]],0),MATCH($AL$4,阻害要因×疾患名＿寛解・院内寛解[#Headers],0)),0)</f>
        <v>5</v>
      </c>
      <c r="F63" s="69">
        <f t="shared" si="9"/>
        <v>9.8039215686274508E-2</v>
      </c>
      <c r="G63" s="70">
        <f>IFERROR(INDEX(阻害要因×疾患名＿寛解・院内寛解[#All],MATCH($AI63,阻害要因×疾患名＿寛解・院内寛解[[#All],[値]],0),MATCH($AP$4,阻害要因×疾患名＿寛解・院内寛解[#Headers],0)),0)</f>
        <v>32</v>
      </c>
      <c r="H63" s="69">
        <f t="shared" si="10"/>
        <v>0.11636363636363636</v>
      </c>
      <c r="I63" s="70">
        <f>IFERROR(INDEX(阻害要因×疾患名＿寛解・院内寛解[#All],MATCH($AI63,阻害要因×疾患名＿寛解・院内寛解[[#All],[値]],0),MATCH($AQ$4,阻害要因×疾患名＿寛解・院内寛解[#Headers],0)),0)+IFERROR(INDEX(阻害要因×疾患名＿寛解・院内寛解[#All],MATCH($AI63,阻害要因×疾患名＿寛解・院内寛解[[#All],[値]],0),MATCH($AR$4,阻害要因×疾患名＿寛解・院内寛解[#Headers],0)),0)</f>
        <v>7</v>
      </c>
      <c r="J63" s="69">
        <f t="shared" si="11"/>
        <v>6.5420560747663545E-2</v>
      </c>
      <c r="K63" s="39">
        <f t="shared" si="7"/>
        <v>32</v>
      </c>
      <c r="L63" s="56" t="s">
        <v>179</v>
      </c>
      <c r="M63" s="66">
        <v>3</v>
      </c>
      <c r="N63" s="60">
        <v>1</v>
      </c>
      <c r="O63" s="60">
        <v>5</v>
      </c>
      <c r="P63" s="60">
        <v>7</v>
      </c>
      <c r="Q63" s="60">
        <v>0</v>
      </c>
      <c r="R63" s="60">
        <v>0</v>
      </c>
      <c r="S63" s="60">
        <v>32</v>
      </c>
      <c r="T63" s="60">
        <v>3</v>
      </c>
      <c r="U63" s="60">
        <v>4</v>
      </c>
      <c r="V63" s="60">
        <v>2</v>
      </c>
      <c r="W63" s="60">
        <v>0</v>
      </c>
      <c r="X63" s="60">
        <v>2</v>
      </c>
      <c r="Y63" s="60">
        <v>1</v>
      </c>
      <c r="Z63" s="60">
        <v>2</v>
      </c>
      <c r="AA63" s="60">
        <v>0</v>
      </c>
      <c r="AB63" s="60">
        <v>0</v>
      </c>
      <c r="AC63" s="60">
        <v>1</v>
      </c>
      <c r="AD63" s="60"/>
      <c r="AI63" s="56" t="s">
        <v>179</v>
      </c>
    </row>
    <row r="64" spans="2:35" x14ac:dyDescent="0.15">
      <c r="B64" s="105" t="s">
        <v>247</v>
      </c>
      <c r="C64" s="70">
        <f>IFERROR(INDEX(阻害要因×疾患名＿寛解・院内寛解[#All],MATCH($AI64,阻害要因×疾患名＿寛解・院内寛解[[#All],[値]],0),MATCH($AJ$4,阻害要因×疾患名＿寛解・院内寛解[#Headers],0)),0)+IFERROR(INDEX(阻害要因×疾患名＿寛解・院内寛解[#All],MATCH($AI64,阻害要因×疾患名＿寛解・院内寛解[[#All],[値]],0),MATCH($AK$4,阻害要因×疾患名＿寛解・院内寛解[#Headers],0)),0)</f>
        <v>1</v>
      </c>
      <c r="D64" s="69">
        <f t="shared" si="8"/>
        <v>2.3255813953488372E-2</v>
      </c>
      <c r="E64" s="70">
        <f>IFERROR(INDEX(阻害要因×疾患名＿寛解・院内寛解[#All],MATCH($AI64,阻害要因×疾患名＿寛解・院内寛解[[#All],[値]],0),MATCH($AL$4,阻害要因×疾患名＿寛解・院内寛解[#Headers],0)),0)</f>
        <v>1</v>
      </c>
      <c r="F64" s="69">
        <f t="shared" si="9"/>
        <v>1.9607843137254902E-2</v>
      </c>
      <c r="G64" s="70">
        <f>IFERROR(INDEX(阻害要因×疾患名＿寛解・院内寛解[#All],MATCH($AI64,阻害要因×疾患名＿寛解・院内寛解[[#All],[値]],0),MATCH($AP$4,阻害要因×疾患名＿寛解・院内寛解[#Headers],0)),0)</f>
        <v>6</v>
      </c>
      <c r="H64" s="69">
        <f t="shared" si="10"/>
        <v>2.181818181818182E-2</v>
      </c>
      <c r="I64" s="70">
        <f>IFERROR(INDEX(阻害要因×疾患名＿寛解・院内寛解[#All],MATCH($AI64,阻害要因×疾患名＿寛解・院内寛解[[#All],[値]],0),MATCH($AQ$4,阻害要因×疾患名＿寛解・院内寛解[#Headers],0)),0)+IFERROR(INDEX(阻害要因×疾患名＿寛解・院内寛解[#All],MATCH($AI64,阻害要因×疾患名＿寛解・院内寛解[[#All],[値]],0),MATCH($AR$4,阻害要因×疾患名＿寛解・院内寛解[#Headers],0)),0)</f>
        <v>0</v>
      </c>
      <c r="J64" s="69">
        <f t="shared" si="11"/>
        <v>0</v>
      </c>
      <c r="L64" s="56" t="s">
        <v>180</v>
      </c>
      <c r="M64" s="66">
        <v>0</v>
      </c>
      <c r="N64" s="60">
        <v>1</v>
      </c>
      <c r="O64" s="60">
        <v>1</v>
      </c>
      <c r="P64" s="60">
        <v>2</v>
      </c>
      <c r="Q64" s="60">
        <v>0</v>
      </c>
      <c r="R64" s="60">
        <v>0</v>
      </c>
      <c r="S64" s="60">
        <v>6</v>
      </c>
      <c r="T64" s="60">
        <v>0</v>
      </c>
      <c r="U64" s="60">
        <v>0</v>
      </c>
      <c r="V64" s="60">
        <v>1</v>
      </c>
      <c r="W64" s="60">
        <v>0</v>
      </c>
      <c r="X64" s="60">
        <v>1</v>
      </c>
      <c r="Y64" s="60">
        <v>0</v>
      </c>
      <c r="Z64" s="60">
        <v>0</v>
      </c>
      <c r="AA64" s="60">
        <v>0</v>
      </c>
      <c r="AB64" s="60">
        <v>0</v>
      </c>
      <c r="AC64" s="60">
        <v>0</v>
      </c>
      <c r="AD64" s="60"/>
      <c r="AI64" s="56" t="s">
        <v>180</v>
      </c>
    </row>
    <row r="65" spans="2:35" x14ac:dyDescent="0.15">
      <c r="B65" s="107" t="s">
        <v>53</v>
      </c>
      <c r="C65" s="74">
        <f>IFERROR(INDEX(阻害要因×疾患名＿寛解・院内寛解[#All],MATCH($AI65,阻害要因×疾患名＿寛解・院内寛解[[#All],[値]],0),MATCH($AJ$4,阻害要因×疾患名＿寛解・院内寛解[#Headers],0)),0)+IFERROR(INDEX(阻害要因×疾患名＿寛解・院内寛解[#All],MATCH($AI65,阻害要因×疾患名＿寛解・院内寛解[[#All],[値]],0),MATCH($AK$4,阻害要因×疾患名＿寛解・院内寛解[#Headers],0)),0)</f>
        <v>0</v>
      </c>
      <c r="D65" s="77">
        <f t="shared" si="8"/>
        <v>0</v>
      </c>
      <c r="E65" s="74">
        <f>IFERROR(INDEX(阻害要因×疾患名＿寛解・院内寛解[#All],MATCH($AI65,阻害要因×疾患名＿寛解・院内寛解[[#All],[値]],0),MATCH($AL$4,阻害要因×疾患名＿寛解・院内寛解[#Headers],0)),0)</f>
        <v>6</v>
      </c>
      <c r="F65" s="77">
        <f t="shared" si="9"/>
        <v>0.11764705882352941</v>
      </c>
      <c r="G65" s="74">
        <f>IFERROR(INDEX(阻害要因×疾患名＿寛解・院内寛解[#All],MATCH($AI65,阻害要因×疾患名＿寛解・院内寛解[[#All],[値]],0),MATCH($AP$4,阻害要因×疾患名＿寛解・院内寛解[#Headers],0)),0)</f>
        <v>19</v>
      </c>
      <c r="H65" s="77">
        <f t="shared" si="10"/>
        <v>6.9090909090909092E-2</v>
      </c>
      <c r="I65" s="74">
        <f>IFERROR(INDEX(阻害要因×疾患名＿寛解・院内寛解[#All],MATCH($AI65,阻害要因×疾患名＿寛解・院内寛解[[#All],[値]],0),MATCH($AQ$4,阻害要因×疾患名＿寛解・院内寛解[#Headers],0)),0)+IFERROR(INDEX(阻害要因×疾患名＿寛解・院内寛解[#All],MATCH($AI65,阻害要因×疾患名＿寛解・院内寛解[[#All],[値]],0),MATCH($AR$4,阻害要因×疾患名＿寛解・院内寛解[#Headers],0)),0)</f>
        <v>7</v>
      </c>
      <c r="J65" s="77">
        <f t="shared" si="11"/>
        <v>6.5420560747663545E-2</v>
      </c>
      <c r="L65" s="56" t="s">
        <v>181</v>
      </c>
      <c r="M65" s="66">
        <v>0</v>
      </c>
      <c r="N65" s="60">
        <v>0</v>
      </c>
      <c r="O65" s="60">
        <v>6</v>
      </c>
      <c r="P65" s="60">
        <v>0</v>
      </c>
      <c r="Q65" s="60">
        <v>0</v>
      </c>
      <c r="R65" s="60">
        <v>1</v>
      </c>
      <c r="S65" s="60">
        <v>19</v>
      </c>
      <c r="T65" s="60">
        <v>4</v>
      </c>
      <c r="U65" s="60">
        <v>3</v>
      </c>
      <c r="V65" s="60">
        <v>2</v>
      </c>
      <c r="W65" s="60">
        <v>0</v>
      </c>
      <c r="X65" s="60">
        <v>0</v>
      </c>
      <c r="Y65" s="60">
        <v>0</v>
      </c>
      <c r="Z65" s="60">
        <v>1</v>
      </c>
      <c r="AA65" s="60">
        <v>0</v>
      </c>
      <c r="AB65" s="60">
        <v>2</v>
      </c>
      <c r="AC65" s="60">
        <v>0</v>
      </c>
      <c r="AD65" s="599"/>
      <c r="AI65" s="56" t="s">
        <v>181</v>
      </c>
    </row>
    <row r="66" spans="2:35" x14ac:dyDescent="0.15">
      <c r="F66" s="67"/>
      <c r="H66" s="67"/>
      <c r="J66" s="67"/>
    </row>
    <row r="67" spans="2:35" x14ac:dyDescent="0.15">
      <c r="F67" s="67"/>
      <c r="H67" s="67"/>
      <c r="J67" s="67"/>
    </row>
  </sheetData>
  <mergeCells count="20">
    <mergeCell ref="C36:F36"/>
    <mergeCell ref="G36:H37"/>
    <mergeCell ref="I36:J37"/>
    <mergeCell ref="B14:J14"/>
    <mergeCell ref="B47:J47"/>
    <mergeCell ref="C43:J43"/>
    <mergeCell ref="C46:J46"/>
    <mergeCell ref="B35:B37"/>
    <mergeCell ref="C35:J35"/>
    <mergeCell ref="C37:D37"/>
    <mergeCell ref="E37:F37"/>
    <mergeCell ref="C13:J13"/>
    <mergeCell ref="C10:J10"/>
    <mergeCell ref="B2:B4"/>
    <mergeCell ref="C2:J2"/>
    <mergeCell ref="C4:D4"/>
    <mergeCell ref="E4:F4"/>
    <mergeCell ref="C3:F3"/>
    <mergeCell ref="G3:H4"/>
    <mergeCell ref="I3:J4"/>
  </mergeCells>
  <phoneticPr fontId="2"/>
  <printOptions horizontalCentered="1"/>
  <pageMargins left="0.70866141732283472" right="0.70866141732283472" top="0.74803149606299213" bottom="0.74803149606299213" header="0.31496062992125984" footer="0.31496062992125984"/>
  <pageSetup paperSize="9" scale="75" fitToHeight="0" orientation="portrait" r:id="rId1"/>
  <rowBreaks count="1" manualBreakCount="1">
    <brk id="33" min="1" max="9" man="1"/>
  </rowBreaks>
  <ignoredErrors>
    <ignoredError sqref="B5:J6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データ削除20">
                <anchor moveWithCells="1" sizeWithCells="1">
                  <from>
                    <xdr:col>29</xdr:col>
                    <xdr:colOff>581025</xdr:colOff>
                    <xdr:row>3</xdr:row>
                    <xdr:rowOff>285750</xdr:rowOff>
                  </from>
                  <to>
                    <xdr:col>32</xdr:col>
                    <xdr:colOff>85725</xdr:colOff>
                    <xdr:row>4</xdr:row>
                    <xdr:rowOff>171450</xdr:rowOff>
                  </to>
                </anchor>
              </controlPr>
            </control>
          </mc:Choice>
        </mc:AlternateContent>
      </controls>
    </mc:Choice>
  </mc:AlternateContent>
  <tableParts count="6">
    <tablePart r:id="rId5"/>
    <tablePart r:id="rId6"/>
    <tablePart r:id="rId7"/>
    <tablePart r:id="rId8"/>
    <tablePart r:id="rId9"/>
    <tablePart r:id="rId10"/>
  </tablePar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FF0000"/>
    <pageSetUpPr fitToPage="1"/>
  </sheetPr>
  <dimension ref="B1:AX230"/>
  <sheetViews>
    <sheetView showGridLines="0" topLeftCell="A7" zoomScale="70" zoomScaleNormal="70" zoomScaleSheetLayoutView="100" workbookViewId="0">
      <selection activeCell="H36" sqref="H36"/>
    </sheetView>
  </sheetViews>
  <sheetFormatPr defaultRowHeight="18.75" x14ac:dyDescent="0.15"/>
  <cols>
    <col min="1" max="1" width="4" style="1" customWidth="1"/>
    <col min="2" max="2" width="12.5" style="1" customWidth="1"/>
    <col min="3" max="12" width="8.75" style="1" customWidth="1"/>
    <col min="13" max="13" width="16.5" style="1" customWidth="1"/>
    <col min="14" max="14" width="2.5" style="1" customWidth="1"/>
    <col min="15" max="15" width="17.75" style="1" hidden="1" customWidth="1"/>
    <col min="16" max="31" width="11.125" style="1" hidden="1" customWidth="1"/>
    <col min="32" max="50" width="9" style="1" hidden="1" customWidth="1"/>
    <col min="51" max="51" width="9" style="1" customWidth="1"/>
    <col min="52" max="16384" width="9" style="1"/>
  </cols>
  <sheetData>
    <row r="1" spans="2:50" ht="19.5" customHeight="1" x14ac:dyDescent="0.15">
      <c r="B1" s="2" t="s">
        <v>74</v>
      </c>
    </row>
    <row r="2" spans="2:50" ht="18.75" customHeight="1" thickBot="1" x14ac:dyDescent="0.2">
      <c r="B2" s="714" t="s">
        <v>65</v>
      </c>
      <c r="C2" s="716" t="s">
        <v>64</v>
      </c>
      <c r="D2" s="717"/>
      <c r="E2" s="717"/>
      <c r="F2" s="717"/>
      <c r="G2" s="717"/>
      <c r="H2" s="717"/>
      <c r="I2" s="717"/>
      <c r="J2" s="717"/>
      <c r="K2" s="717"/>
      <c r="L2" s="718"/>
      <c r="O2" s="34" t="s">
        <v>63</v>
      </c>
    </row>
    <row r="3" spans="2:50" ht="18.75" customHeight="1" thickTop="1" thickBot="1" x14ac:dyDescent="0.2">
      <c r="B3" s="715"/>
      <c r="C3" s="719" t="s">
        <v>69</v>
      </c>
      <c r="D3" s="720"/>
      <c r="E3" s="719" t="s">
        <v>70</v>
      </c>
      <c r="F3" s="720"/>
      <c r="G3" s="719" t="s">
        <v>71</v>
      </c>
      <c r="H3" s="720"/>
      <c r="I3" s="719" t="s">
        <v>72</v>
      </c>
      <c r="J3" s="720"/>
      <c r="K3" s="719" t="s">
        <v>62</v>
      </c>
      <c r="L3" s="720"/>
      <c r="O3" s="429" t="s">
        <v>370</v>
      </c>
      <c r="P3" s="503" t="s">
        <v>183</v>
      </c>
      <c r="Q3" s="62" t="s">
        <v>182</v>
      </c>
      <c r="R3" s="62" t="s">
        <v>184</v>
      </c>
      <c r="S3" s="62" t="s">
        <v>185</v>
      </c>
      <c r="T3" s="62" t="s">
        <v>186</v>
      </c>
      <c r="U3" s="62" t="s">
        <v>187</v>
      </c>
      <c r="V3" s="62" t="s">
        <v>188</v>
      </c>
      <c r="W3" s="62" t="s">
        <v>189</v>
      </c>
      <c r="X3" s="62" t="s">
        <v>190</v>
      </c>
      <c r="Y3" s="62" t="s">
        <v>191</v>
      </c>
      <c r="Z3" s="62" t="s">
        <v>192</v>
      </c>
      <c r="AA3" s="62" t="s">
        <v>193</v>
      </c>
      <c r="AB3" s="62" t="s">
        <v>194</v>
      </c>
      <c r="AC3" s="62" t="s">
        <v>195</v>
      </c>
      <c r="AD3" s="62" t="s">
        <v>196</v>
      </c>
      <c r="AE3" s="53" t="s">
        <v>197</v>
      </c>
      <c r="AI3" s="486" t="s">
        <v>182</v>
      </c>
      <c r="AJ3" s="487" t="s">
        <v>183</v>
      </c>
      <c r="AK3" s="487" t="s">
        <v>184</v>
      </c>
      <c r="AL3" s="487" t="s">
        <v>185</v>
      </c>
      <c r="AM3" s="487" t="s">
        <v>186</v>
      </c>
      <c r="AN3" s="487" t="s">
        <v>187</v>
      </c>
      <c r="AO3" s="487" t="s">
        <v>188</v>
      </c>
      <c r="AP3" s="487" t="s">
        <v>189</v>
      </c>
      <c r="AQ3" s="487" t="s">
        <v>190</v>
      </c>
      <c r="AR3" s="487" t="s">
        <v>191</v>
      </c>
      <c r="AS3" s="487" t="s">
        <v>192</v>
      </c>
      <c r="AT3" s="487" t="s">
        <v>193</v>
      </c>
      <c r="AU3" s="487" t="s">
        <v>194</v>
      </c>
      <c r="AV3" s="487" t="s">
        <v>195</v>
      </c>
      <c r="AW3" s="487" t="s">
        <v>196</v>
      </c>
      <c r="AX3" s="486" t="s">
        <v>197</v>
      </c>
    </row>
    <row r="4" spans="2:50" s="22" customFormat="1" ht="18.75" customHeight="1" thickTop="1" x14ac:dyDescent="0.15">
      <c r="B4" s="228" t="s">
        <v>2</v>
      </c>
      <c r="C4" s="229">
        <f>IFERROR(INDEX(年齢階層×在院期間区分F2[#All],MATCH($AH4,年齢階層×在院期間区分F2[[#All],[行ラベル]],0),MATCH($AI$3,年齢階層×在院期間区分F2[#Headers],0)),0)+IFERROR(INDEX(年齢階層×在院期間区分F2[#All],MATCH($AH4,年齢階層×在院期間区分F2[[#All],[行ラベル]],0),MATCH($AJ$3,年齢階層×在院期間区分F2[#Headers],0)),0)+IFERROR(INDEX(年齢階層×在院期間区分F2[#All],MATCH($AH4,年齢階層×在院期間区分F2[[#All],[行ラベル]],0),MATCH($AK$3,年齢階層×在院期間区分F2[#Headers],0)),0)+IFERROR(INDEX(年齢階層×在院期間区分F2[#All],MATCH($AH4,年齢階層×在院期間区分F2[[#All],[行ラベル]],0),MATCH($AL$3,年齢階層×在院期間区分F2[#Headers],0)),0)</f>
        <v>14</v>
      </c>
      <c r="D4" s="224">
        <f t="shared" ref="D4:D12" si="0">IFERROR(C4/$C$13,"-")</f>
        <v>6.6698427822772747E-3</v>
      </c>
      <c r="E4" s="229">
        <f>IFERROR(INDEX(年齢階層×在院期間区分F2[#All],MATCH($AH4,年齢階層×在院期間区分F2[[#All],[行ラベル]],0),MATCH($AM$3,年齢階層×在院期間区分F2[#Headers],0)),0)+IFERROR(INDEX(年齢階層×在院期間区分F2[#All],MATCH($AH4,年齢階層×在院期間区分F2[[#All],[行ラベル]],0),MATCH($AN$3,年齢階層×在院期間区分F2[#Headers],0)),0)+IFERROR(INDEX(年齢階層×在院期間区分F2[#All],MATCH($AH4,年齢階層×在院期間区分F2[[#All],[行ラベル]],0),MATCH($AO$3,年齢階層×在院期間区分F2[#Headers],0)),0)+IFERROR(INDEX(年齢階層×在院期間区分F2[#All],MATCH($AH4,年齢階層×在院期間区分F2[[#All],[行ラベル]],0),MATCH($AP$3,年齢階層×在院期間区分F2[#Headers],0)),0)+IFERROR(INDEX(年齢階層×在院期間区分F2[#All],MATCH($AH4,年齢階層×在院期間区分F2[[#All],[行ラベル]],0),MATCH($AQ$3,年齢階層×在院期間区分F2[#Headers],0)),0)</f>
        <v>1</v>
      </c>
      <c r="F4" s="224">
        <f t="shared" ref="F4:F12" si="1">IFERROR(E4/$E$13,"-")</f>
        <v>4.2589437819420784E-4</v>
      </c>
      <c r="G4" s="229">
        <f>IFERROR(INDEX(年齢階層×在院期間区分F2[#All],MATCH($AH4,年齢階層×在院期間区分F2[[#All],[行ラベル]],0),MATCH($AR$3,年齢階層×在院期間区分F2[#Headers],0)),0)+IFERROR(INDEX(年齢階層×在院期間区分F2[#All],MATCH($AH4,年齢階層×在院期間区分F2[[#All],[行ラベル]],0),MATCH($AS$3,年齢階層×在院期間区分F2[#Headers],0)),0)+IFERROR(INDEX(年齢階層×在院期間区分F2[#All],MATCH($AH4,年齢階層×在院期間区分F2[[#All],[行ラベル]],0),MATCH($AT$3,年齢階層×在院期間区分F2[#Headers],0)),0)+IFERROR(INDEX(年齢階層×在院期間区分F2[#All],MATCH($AH4,年齢階層×在院期間区分F2[[#All],[行ラベル]],0),MATCH($AU$3,年齢階層×在院期間区分F2[#Headers],0)),0)+IFERROR(INDEX(年齢階層×在院期間区分F2[#All],MATCH($AH4,年齢階層×在院期間区分F2[[#All],[行ラベル]],0),MATCH($AV$3,年齢階層×在院期間区分F2[#Headers],0)),0)</f>
        <v>0</v>
      </c>
      <c r="H4" s="224">
        <f t="shared" ref="H4:H12" si="2">IFERROR(G4/$G$13,"-")</f>
        <v>0</v>
      </c>
      <c r="I4" s="223">
        <f>IFERROR(INDEX(年齢階層×在院期間区分F2[#All],MATCH($AH4,年齢階層×在院期間区分F2[[#All],[行ラベル]],0),MATCH($AW$3,年齢階層×在院期間区分F2[#Headers],0)),0)+IFERROR(INDEX(年齢階層×在院期間区分F2[#All],MATCH($AH4,年齢階層×在院期間区分F2[[#All],[行ラベル]],0),MATCH($AX$3,年齢階層×在院期間区分F2[#Headers],0)),0)</f>
        <v>0</v>
      </c>
      <c r="J4" s="224">
        <f t="shared" ref="J4:J12" si="3">IFERROR(I4/$I$13,"-")</f>
        <v>0</v>
      </c>
      <c r="K4" s="223">
        <f t="shared" ref="K4:K12" si="4">SUM(C4,E4,G4,I4)</f>
        <v>15</v>
      </c>
      <c r="L4" s="224">
        <f t="shared" ref="L4:L12" si="5">IFERROR(K4/$K$13,"-")</f>
        <v>1.9773266543633007E-3</v>
      </c>
      <c r="O4" s="54" t="s">
        <v>2</v>
      </c>
      <c r="P4" s="66">
        <v>3</v>
      </c>
      <c r="Q4" s="66">
        <v>10</v>
      </c>
      <c r="R4" s="66"/>
      <c r="S4" s="66">
        <v>1</v>
      </c>
      <c r="T4" s="66">
        <v>1</v>
      </c>
      <c r="U4" s="66"/>
      <c r="V4" s="66"/>
      <c r="W4" s="66"/>
      <c r="X4" s="66"/>
      <c r="Y4" s="66"/>
      <c r="Z4" s="66"/>
      <c r="AA4" s="66"/>
      <c r="AB4" s="66"/>
      <c r="AC4" s="66"/>
      <c r="AD4" s="66"/>
      <c r="AE4" s="66"/>
      <c r="AH4" s="54" t="s">
        <v>2</v>
      </c>
      <c r="AI4" s="67"/>
      <c r="AL4" s="81"/>
    </row>
    <row r="5" spans="2:50" s="22" customFormat="1" ht="18.75" customHeight="1" x14ac:dyDescent="0.15">
      <c r="B5" s="230" t="s">
        <v>3</v>
      </c>
      <c r="C5" s="231">
        <f>IFERROR(INDEX(年齢階層×在院期間区分F2[#All],MATCH($AH5,年齢階層×在院期間区分F2[[#All],[行ラベル]],0),MATCH($AI$3,年齢階層×在院期間区分F2[#Headers],0)),0)+IFERROR(INDEX(年齢階層×在院期間区分F2[#All],MATCH($AH5,年齢階層×在院期間区分F2[[#All],[行ラベル]],0),MATCH($AJ$3,年齢階層×在院期間区分F2[#Headers],0)),0)+IFERROR(INDEX(年齢階層×在院期間区分F2[#All],MATCH($AH5,年齢階層×在院期間区分F2[[#All],[行ラベル]],0),MATCH($AK$3,年齢階層×在院期間区分F2[#Headers],0)),0)+IFERROR(INDEX(年齢階層×在院期間区分F2[#All],MATCH($AH5,年齢階層×在院期間区分F2[[#All],[行ラベル]],0),MATCH($AL$3,年齢階層×在院期間区分F2[#Headers],0)),0)</f>
        <v>64</v>
      </c>
      <c r="D5" s="209">
        <f t="shared" si="0"/>
        <v>3.049070986183897E-2</v>
      </c>
      <c r="E5" s="208">
        <f>IFERROR(INDEX(年齢階層×在院期間区分F2[#All],MATCH($AH5,年齢階層×在院期間区分F2[[#All],[行ラベル]],0),MATCH($AM$3,年齢階層×在院期間区分F2[#Headers],0)),0)+IFERROR(INDEX(年齢階層×在院期間区分F2[#All],MATCH($AH5,年齢階層×在院期間区分F2[[#All],[行ラベル]],0),MATCH($AN$3,年齢階層×在院期間区分F2[#Headers],0)),0)+IFERROR(INDEX(年齢階層×在院期間区分F2[#All],MATCH($AH5,年齢階層×在院期間区分F2[[#All],[行ラベル]],0),MATCH($AO$3,年齢階層×在院期間区分F2[#Headers],0)),0)+IFERROR(INDEX(年齢階層×在院期間区分F2[#All],MATCH($AH5,年齢階層×在院期間区分F2[[#All],[行ラベル]],0),MATCH($AP$3,年齢階層×在院期間区分F2[#Headers],0)),0)+IFERROR(INDEX(年齢階層×在院期間区分F2[#All],MATCH($AH5,年齢階層×在院期間区分F2[[#All],[行ラベル]],0),MATCH($AQ$3,年齢階層×在院期間区分F2[#Headers],0)),0)</f>
        <v>28</v>
      </c>
      <c r="F5" s="209">
        <f t="shared" si="1"/>
        <v>1.192504258943782E-2</v>
      </c>
      <c r="G5" s="231">
        <f>IFERROR(INDEX(年齢階層×在院期間区分F2[#All],MATCH($AH5,年齢階層×在院期間区分F2[[#All],[行ラベル]],0),MATCH($AR$3,年齢階層×在院期間区分F2[#Headers],0)),0)+IFERROR(INDEX(年齢階層×在院期間区分F2[#All],MATCH($AH5,年齢階層×在院期間区分F2[[#All],[行ラベル]],0),MATCH($AS$3,年齢階層×在院期間区分F2[#Headers],0)),0)+IFERROR(INDEX(年齢階層×在院期間区分F2[#All],MATCH($AH5,年齢階層×在院期間区分F2[[#All],[行ラベル]],0),MATCH($AT$3,年齢階層×在院期間区分F2[#Headers],0)),0)+IFERROR(INDEX(年齢階層×在院期間区分F2[#All],MATCH($AH5,年齢階層×在院期間区分F2[[#All],[行ラベル]],0),MATCH($AU$3,年齢階層×在院期間区分F2[#Headers],0)),0)+IFERROR(INDEX(年齢階層×在院期間区分F2[#All],MATCH($AH5,年齢階層×在院期間区分F2[[#All],[行ラベル]],0),MATCH($AV$3,年齢階層×在院期間区分F2[#Headers],0)),0)</f>
        <v>9</v>
      </c>
      <c r="H5" s="209">
        <f t="shared" si="2"/>
        <v>7.2057646116893519E-3</v>
      </c>
      <c r="I5" s="232">
        <f>IFERROR(INDEX(年齢階層×在院期間区分F2[#All],MATCH($AH5,年齢階層×在院期間区分F2[[#All],[行ラベル]],0),MATCH($AW$3,年齢階層×在院期間区分F2[#Headers],0)),0)+IFERROR(INDEX(年齢階層×在院期間区分F2[#All],MATCH($AH5,年齢階層×在院期間区分F2[[#All],[行ラベル]],0),MATCH($AX$3,年齢階層×在院期間区分F2[#Headers],0)),0)</f>
        <v>0</v>
      </c>
      <c r="J5" s="209">
        <f t="shared" si="3"/>
        <v>0</v>
      </c>
      <c r="K5" s="208">
        <f t="shared" si="4"/>
        <v>101</v>
      </c>
      <c r="L5" s="209">
        <f t="shared" si="5"/>
        <v>1.3313999472712891E-2</v>
      </c>
      <c r="O5" s="54" t="s">
        <v>3</v>
      </c>
      <c r="P5" s="66">
        <v>21</v>
      </c>
      <c r="Q5" s="66">
        <v>23</v>
      </c>
      <c r="R5" s="66">
        <v>14</v>
      </c>
      <c r="S5" s="66">
        <v>6</v>
      </c>
      <c r="T5" s="66">
        <v>4</v>
      </c>
      <c r="U5" s="66">
        <v>8</v>
      </c>
      <c r="V5" s="66">
        <v>9</v>
      </c>
      <c r="W5" s="66">
        <v>5</v>
      </c>
      <c r="X5" s="66">
        <v>2</v>
      </c>
      <c r="Y5" s="66">
        <v>3</v>
      </c>
      <c r="Z5" s="66">
        <v>1</v>
      </c>
      <c r="AA5" s="66">
        <v>2</v>
      </c>
      <c r="AB5" s="66">
        <v>2</v>
      </c>
      <c r="AC5" s="66">
        <v>1</v>
      </c>
      <c r="AD5" s="66"/>
      <c r="AE5" s="66"/>
      <c r="AH5" s="54" t="s">
        <v>3</v>
      </c>
      <c r="AI5" s="67"/>
      <c r="AJ5" s="67"/>
      <c r="AL5" s="81"/>
    </row>
    <row r="6" spans="2:50" s="22" customFormat="1" ht="18.75" customHeight="1" x14ac:dyDescent="0.15">
      <c r="B6" s="230" t="s">
        <v>4</v>
      </c>
      <c r="C6" s="231">
        <f>IFERROR(INDEX(年齢階層×在院期間区分F2[#All],MATCH($AH6,年齢階層×在院期間区分F2[[#All],[行ラベル]],0),MATCH($AI$3,年齢階層×在院期間区分F2[#Headers],0)),0)+IFERROR(INDEX(年齢階層×在院期間区分F2[#All],MATCH($AH6,年齢階層×在院期間区分F2[[#All],[行ラベル]],0),MATCH($AJ$3,年齢階層×在院期間区分F2[#Headers],0)),0)+IFERROR(INDEX(年齢階層×在院期間区分F2[#All],MATCH($AH6,年齢階層×在院期間区分F2[[#All],[行ラベル]],0),MATCH($AK$3,年齢階層×在院期間区分F2[#Headers],0)),0)+IFERROR(INDEX(年齢階層×在院期間区分F2[#All],MATCH($AH6,年齢階層×在院期間区分F2[[#All],[行ラベル]],0),MATCH($AL$3,年齢階層×在院期間区分F2[#Headers],0)),0)</f>
        <v>185</v>
      </c>
      <c r="D6" s="209">
        <f t="shared" si="0"/>
        <v>8.8137208194378272E-2</v>
      </c>
      <c r="E6" s="232">
        <f>IFERROR(INDEX(年齢階層×在院期間区分F2[#All],MATCH($AH6,年齢階層×在院期間区分F2[[#All],[行ラベル]],0),MATCH($AM$3,年齢階層×在院期間区分F2[#Headers],0)),0)+IFERROR(INDEX(年齢階層×在院期間区分F2[#All],MATCH($AH6,年齢階層×在院期間区分F2[[#All],[行ラベル]],0),MATCH($AN$3,年齢階層×在院期間区分F2[#Headers],0)),0)+IFERROR(INDEX(年齢階層×在院期間区分F2[#All],MATCH($AH6,年齢階層×在院期間区分F2[[#All],[行ラベル]],0),MATCH($AO$3,年齢階層×在院期間区分F2[#Headers],0)),0)+IFERROR(INDEX(年齢階層×在院期間区分F2[#All],MATCH($AH6,年齢階層×在院期間区分F2[[#All],[行ラベル]],0),MATCH($AP$3,年齢階層×在院期間区分F2[#Headers],0)),0)+IFERROR(INDEX(年齢階層×在院期間区分F2[#All],MATCH($AH6,年齢階層×在院期間区分F2[[#All],[行ラベル]],0),MATCH($AQ$3,年齢階層×在院期間区分F2[#Headers],0)),0)</f>
        <v>121</v>
      </c>
      <c r="F6" s="209">
        <f t="shared" si="1"/>
        <v>5.1533219761499147E-2</v>
      </c>
      <c r="G6" s="231">
        <f>IFERROR(INDEX(年齢階層×在院期間区分F2[#All],MATCH($AH6,年齢階層×在院期間区分F2[[#All],[行ラベル]],0),MATCH($AR$3,年齢階層×在院期間区分F2[#Headers],0)),0)+IFERROR(INDEX(年齢階層×在院期間区分F2[#All],MATCH($AH6,年齢階層×在院期間区分F2[[#All],[行ラベル]],0),MATCH($AS$3,年齢階層×在院期間区分F2[#Headers],0)),0)+IFERROR(INDEX(年齢階層×在院期間区分F2[#All],MATCH($AH6,年齢階層×在院期間区分F2[[#All],[行ラベル]],0),MATCH($AT$3,年齢階層×在院期間区分F2[#Headers],0)),0)+IFERROR(INDEX(年齢階層×在院期間区分F2[#All],MATCH($AH6,年齢階層×在院期間区分F2[[#All],[行ラベル]],0),MATCH($AU$3,年齢階層×在院期間区分F2[#Headers],0)),0)+IFERROR(INDEX(年齢階層×在院期間区分F2[#All],MATCH($AH6,年齢階層×在院期間区分F2[[#All],[行ラベル]],0),MATCH($AV$3,年齢階層×在院期間区分F2[#Headers],0)),0)</f>
        <v>51</v>
      </c>
      <c r="H6" s="209">
        <f t="shared" si="2"/>
        <v>4.0832666132906328E-2</v>
      </c>
      <c r="I6" s="208">
        <f>IFERROR(INDEX(年齢階層×在院期間区分F2[#All],MATCH($AH6,年齢階層×在院期間区分F2[[#All],[行ラベル]],0),MATCH($AW$3,年齢階層×在院期間区分F2[#Headers],0)),0)+IFERROR(INDEX(年齢階層×在院期間区分F2[#All],MATCH($AH6,年齢階層×在院期間区分F2[[#All],[行ラベル]],0),MATCH($AX$3,年齢階層×在院期間区分F2[#Headers],0)),0)</f>
        <v>27</v>
      </c>
      <c r="J6" s="209">
        <f t="shared" si="3"/>
        <v>1.4285714285714285E-2</v>
      </c>
      <c r="K6" s="208">
        <f t="shared" si="4"/>
        <v>384</v>
      </c>
      <c r="L6" s="209">
        <f t="shared" si="5"/>
        <v>5.0619562351700502E-2</v>
      </c>
      <c r="O6" s="54" t="s">
        <v>4</v>
      </c>
      <c r="P6" s="66">
        <v>63</v>
      </c>
      <c r="Q6" s="66">
        <v>58</v>
      </c>
      <c r="R6" s="66">
        <v>27</v>
      </c>
      <c r="S6" s="66">
        <v>37</v>
      </c>
      <c r="T6" s="66">
        <v>19</v>
      </c>
      <c r="U6" s="66">
        <v>26</v>
      </c>
      <c r="V6" s="66">
        <v>37</v>
      </c>
      <c r="W6" s="66">
        <v>20</v>
      </c>
      <c r="X6" s="66">
        <v>19</v>
      </c>
      <c r="Y6" s="66">
        <v>13</v>
      </c>
      <c r="Z6" s="66">
        <v>20</v>
      </c>
      <c r="AA6" s="66">
        <v>6</v>
      </c>
      <c r="AB6" s="66">
        <v>5</v>
      </c>
      <c r="AC6" s="66">
        <v>7</v>
      </c>
      <c r="AD6" s="66">
        <v>26</v>
      </c>
      <c r="AE6" s="66">
        <v>1</v>
      </c>
      <c r="AH6" s="54" t="s">
        <v>4</v>
      </c>
      <c r="AI6" s="67"/>
      <c r="AJ6" s="67"/>
      <c r="AL6" s="81"/>
    </row>
    <row r="7" spans="2:50" s="22" customFormat="1" ht="18.75" customHeight="1" x14ac:dyDescent="0.15">
      <c r="B7" s="230" t="s">
        <v>5</v>
      </c>
      <c r="C7" s="208">
        <f>IFERROR(INDEX(年齢階層×在院期間区分F2[#All],MATCH($AH7,年齢階層×在院期間区分F2[[#All],[行ラベル]],0),MATCH($AI$3,年齢階層×在院期間区分F2[#Headers],0)),0)+IFERROR(INDEX(年齢階層×在院期間区分F2[#All],MATCH($AH7,年齢階層×在院期間区分F2[[#All],[行ラベル]],0),MATCH($AJ$3,年齢階層×在院期間区分F2[#Headers],0)),0)+IFERROR(INDEX(年齢階層×在院期間区分F2[#All],MATCH($AH7,年齢階層×在院期間区分F2[[#All],[行ラベル]],0),MATCH($AK$3,年齢階層×在院期間区分F2[#Headers],0)),0)+IFERROR(INDEX(年齢階層×在院期間区分F2[#All],MATCH($AH7,年齢階層×在院期間区分F2[[#All],[行ラベル]],0),MATCH($AL$3,年齢階層×在院期間区分F2[#Headers],0)),0)</f>
        <v>373</v>
      </c>
      <c r="D7" s="209">
        <f t="shared" si="0"/>
        <v>0.17770366841353025</v>
      </c>
      <c r="E7" s="208">
        <f>IFERROR(INDEX(年齢階層×在院期間区分F2[#All],MATCH($AH7,年齢階層×在院期間区分F2[[#All],[行ラベル]],0),MATCH($AM$3,年齢階層×在院期間区分F2[#Headers],0)),0)+IFERROR(INDEX(年齢階層×在院期間区分F2[#All],MATCH($AH7,年齢階層×在院期間区分F2[[#All],[行ラベル]],0),MATCH($AN$3,年齢階層×在院期間区分F2[#Headers],0)),0)+IFERROR(INDEX(年齢階層×在院期間区分F2[#All],MATCH($AH7,年齢階層×在院期間区分F2[[#All],[行ラベル]],0),MATCH($AO$3,年齢階層×在院期間区分F2[#Headers],0)),0)+IFERROR(INDEX(年齢階層×在院期間区分F2[#All],MATCH($AH7,年齢階層×在院期間区分F2[[#All],[行ラベル]],0),MATCH($AP$3,年齢階層×在院期間区分F2[#Headers],0)),0)+IFERROR(INDEX(年齢階層×在院期間区分F2[#All],MATCH($AH7,年齢階層×在院期間区分F2[[#All],[行ラベル]],0),MATCH($AQ$3,年齢階層×在院期間区分F2[#Headers],0)),0)</f>
        <v>290</v>
      </c>
      <c r="F7" s="209">
        <f t="shared" si="1"/>
        <v>0.12350936967632027</v>
      </c>
      <c r="G7" s="231">
        <f>IFERROR(INDEX(年齢階層×在院期間区分F2[#All],MATCH($AH7,年齢階層×在院期間区分F2[[#All],[行ラベル]],0),MATCH($AR$3,年齢階層×在院期間区分F2[#Headers],0)),0)+IFERROR(INDEX(年齢階層×在院期間区分F2[#All],MATCH($AH7,年齢階層×在院期間区分F2[[#All],[行ラベル]],0),MATCH($AS$3,年齢階層×在院期間区分F2[#Headers],0)),0)+IFERROR(INDEX(年齢階層×在院期間区分F2[#All],MATCH($AH7,年齢階層×在院期間区分F2[[#All],[行ラベル]],0),MATCH($AT$3,年齢階層×在院期間区分F2[#Headers],0)),0)+IFERROR(INDEX(年齢階層×在院期間区分F2[#All],MATCH($AH7,年齢階層×在院期間区分F2[[#All],[行ラベル]],0),MATCH($AU$3,年齢階層×在院期間区分F2[#Headers],0)),0)+IFERROR(INDEX(年齢階層×在院期間区分F2[#All],MATCH($AH7,年齢階層×在院期間区分F2[[#All],[行ラベル]],0),MATCH($AV$3,年齢階層×在院期間区分F2[#Headers],0)),0)</f>
        <v>164</v>
      </c>
      <c r="H7" s="209">
        <f t="shared" si="2"/>
        <v>0.13130504403522819</v>
      </c>
      <c r="I7" s="232">
        <f>IFERROR(INDEX(年齢階層×在院期間区分F2[#All],MATCH($AH7,年齢階層×在院期間区分F2[[#All],[行ラベル]],0),MATCH($AW$3,年齢階層×在院期間区分F2[#Headers],0)),0)+IFERROR(INDEX(年齢階層×在院期間区分F2[#All],MATCH($AH7,年齢階層×在院期間区分F2[[#All],[行ラベル]],0),MATCH($AX$3,年齢階層×在院期間区分F2[#Headers],0)),0)</f>
        <v>194</v>
      </c>
      <c r="J7" s="209">
        <f t="shared" si="3"/>
        <v>0.10264550264550265</v>
      </c>
      <c r="K7" s="208">
        <f t="shared" si="4"/>
        <v>1021</v>
      </c>
      <c r="L7" s="209">
        <f t="shared" si="5"/>
        <v>0.13459003427366201</v>
      </c>
      <c r="O7" s="54" t="s">
        <v>5</v>
      </c>
      <c r="P7" s="66">
        <v>121</v>
      </c>
      <c r="Q7" s="66">
        <v>119</v>
      </c>
      <c r="R7" s="66">
        <v>64</v>
      </c>
      <c r="S7" s="66">
        <v>69</v>
      </c>
      <c r="T7" s="66">
        <v>43</v>
      </c>
      <c r="U7" s="66">
        <v>48</v>
      </c>
      <c r="V7" s="66">
        <v>82</v>
      </c>
      <c r="W7" s="66">
        <v>69</v>
      </c>
      <c r="X7" s="66">
        <v>48</v>
      </c>
      <c r="Y7" s="66">
        <v>37</v>
      </c>
      <c r="Z7" s="66">
        <v>41</v>
      </c>
      <c r="AA7" s="66">
        <v>30</v>
      </c>
      <c r="AB7" s="66">
        <v>36</v>
      </c>
      <c r="AC7" s="66">
        <v>20</v>
      </c>
      <c r="AD7" s="66">
        <v>154</v>
      </c>
      <c r="AE7" s="66">
        <v>40</v>
      </c>
      <c r="AH7" s="54" t="s">
        <v>5</v>
      </c>
      <c r="AI7" s="67"/>
      <c r="AJ7" s="67"/>
      <c r="AL7" s="81"/>
    </row>
    <row r="8" spans="2:50" s="22" customFormat="1" ht="18.75" customHeight="1" x14ac:dyDescent="0.15">
      <c r="B8" s="230" t="s">
        <v>6</v>
      </c>
      <c r="C8" s="208">
        <f>IFERROR(INDEX(年齢階層×在院期間区分F2[#All],MATCH($AH8,年齢階層×在院期間区分F2[[#All],[行ラベル]],0),MATCH($AI$3,年齢階層×在院期間区分F2[#Headers],0)),0)+IFERROR(INDEX(年齢階層×在院期間区分F2[#All],MATCH($AH8,年齢階層×在院期間区分F2[[#All],[行ラベル]],0),MATCH($AJ$3,年齢階層×在院期間区分F2[#Headers],0)),0)+IFERROR(INDEX(年齢階層×在院期間区分F2[#All],MATCH($AH8,年齢階層×在院期間区分F2[[#All],[行ラベル]],0),MATCH($AK$3,年齢階層×在院期間区分F2[#Headers],0)),0)+IFERROR(INDEX(年齢階層×在院期間区分F2[#All],MATCH($AH8,年齢階層×在院期間区分F2[[#All],[行ラベル]],0),MATCH($AL$3,年齢階層×在院期間区分F2[#Headers],0)),0)</f>
        <v>507</v>
      </c>
      <c r="D8" s="209">
        <f t="shared" si="0"/>
        <v>0.24154359218675558</v>
      </c>
      <c r="E8" s="208">
        <f>IFERROR(INDEX(年齢階層×在院期間区分F2[#All],MATCH($AH8,年齢階層×在院期間区分F2[[#All],[行ラベル]],0),MATCH($AM$3,年齢階層×在院期間区分F2[#Headers],0)),0)+IFERROR(INDEX(年齢階層×在院期間区分F2[#All],MATCH($AH8,年齢階層×在院期間区分F2[[#All],[行ラベル]],0),MATCH($AN$3,年齢階層×在院期間区分F2[#Headers],0)),0)+IFERROR(INDEX(年齢階層×在院期間区分F2[#All],MATCH($AH8,年齢階層×在院期間区分F2[[#All],[行ラベル]],0),MATCH($AO$3,年齢階層×在院期間区分F2[#Headers],0)),0)+IFERROR(INDEX(年齢階層×在院期間区分F2[#All],MATCH($AH8,年齢階層×在院期間区分F2[[#All],[行ラベル]],0),MATCH($AP$3,年齢階層×在院期間区分F2[#Headers],0)),0)+IFERROR(INDEX(年齢階層×在院期間区分F2[#All],MATCH($AH8,年齢階層×在院期間区分F2[[#All],[行ラベル]],0),MATCH($AQ$3,年齢階層×在院期間区分F2[#Headers],0)),0)</f>
        <v>520</v>
      </c>
      <c r="F8" s="209">
        <f t="shared" si="1"/>
        <v>0.22146507666098808</v>
      </c>
      <c r="G8" s="231">
        <f>IFERROR(INDEX(年齢階層×在院期間区分F2[#All],MATCH($AH8,年齢階層×在院期間区分F2[[#All],[行ラベル]],0),MATCH($AR$3,年齢階層×在院期間区分F2[#Headers],0)),0)+IFERROR(INDEX(年齢階層×在院期間区分F2[#All],MATCH($AH8,年齢階層×在院期間区分F2[[#All],[行ラベル]],0),MATCH($AS$3,年齢階層×在院期間区分F2[#Headers],0)),0)+IFERROR(INDEX(年齢階層×在院期間区分F2[#All],MATCH($AH8,年齢階層×在院期間区分F2[[#All],[行ラベル]],0),MATCH($AT$3,年齢階層×在院期間区分F2[#Headers],0)),0)+IFERROR(INDEX(年齢階層×在院期間区分F2[#All],MATCH($AH8,年齢階層×在院期間区分F2[[#All],[行ラベル]],0),MATCH($AU$3,年齢階層×在院期間区分F2[#Headers],0)),0)+IFERROR(INDEX(年齢階層×在院期間区分F2[#All],MATCH($AH8,年齢階層×在院期間区分F2[[#All],[行ラベル]],0),MATCH($AV$3,年齢階層×在院期間区分F2[#Headers],0)),0)</f>
        <v>307</v>
      </c>
      <c r="H8" s="209">
        <f t="shared" si="2"/>
        <v>0.24579663730984788</v>
      </c>
      <c r="I8" s="231">
        <f>IFERROR(INDEX(年齢階層×在院期間区分F2[#All],MATCH($AH8,年齢階層×在院期間区分F2[[#All],[行ラベル]],0),MATCH($AW$3,年齢階層×在院期間区分F2[#Headers],0)),0)+IFERROR(INDEX(年齢階層×在院期間区分F2[#All],MATCH($AH8,年齢階層×在院期間区分F2[[#All],[行ラベル]],0),MATCH($AX$3,年齢階層×在院期間区分F2[#Headers],0)),0)</f>
        <v>380</v>
      </c>
      <c r="J8" s="209">
        <f t="shared" si="3"/>
        <v>0.20105820105820105</v>
      </c>
      <c r="K8" s="208">
        <f t="shared" si="4"/>
        <v>1714</v>
      </c>
      <c r="L8" s="209">
        <f t="shared" si="5"/>
        <v>0.22594252570524651</v>
      </c>
      <c r="O8" s="54" t="s">
        <v>6</v>
      </c>
      <c r="P8" s="66">
        <v>162</v>
      </c>
      <c r="Q8" s="66">
        <v>142</v>
      </c>
      <c r="R8" s="66">
        <v>105</v>
      </c>
      <c r="S8" s="66">
        <v>98</v>
      </c>
      <c r="T8" s="66">
        <v>89</v>
      </c>
      <c r="U8" s="66">
        <v>82</v>
      </c>
      <c r="V8" s="66">
        <v>141</v>
      </c>
      <c r="W8" s="66">
        <v>119</v>
      </c>
      <c r="X8" s="66">
        <v>89</v>
      </c>
      <c r="Y8" s="66">
        <v>76</v>
      </c>
      <c r="Z8" s="66">
        <v>69</v>
      </c>
      <c r="AA8" s="66">
        <v>59</v>
      </c>
      <c r="AB8" s="66">
        <v>49</v>
      </c>
      <c r="AC8" s="66">
        <v>54</v>
      </c>
      <c r="AD8" s="66">
        <v>242</v>
      </c>
      <c r="AE8" s="66">
        <v>138</v>
      </c>
      <c r="AH8" s="54" t="s">
        <v>6</v>
      </c>
      <c r="AI8" s="67"/>
      <c r="AJ8" s="67"/>
      <c r="AL8" s="81"/>
    </row>
    <row r="9" spans="2:50" s="22" customFormat="1" ht="18.75" customHeight="1" x14ac:dyDescent="0.15">
      <c r="B9" s="230" t="s">
        <v>7</v>
      </c>
      <c r="C9" s="208">
        <f>IFERROR(INDEX(年齢階層×在院期間区分F2[#All],MATCH($AH9,年齢階層×在院期間区分F2[[#All],[行ラベル]],0),MATCH($AI$3,年齢階層×在院期間区分F2[#Headers],0)),0)+IFERROR(INDEX(年齢階層×在院期間区分F2[#All],MATCH($AH9,年齢階層×在院期間区分F2[[#All],[行ラベル]],0),MATCH($AJ$3,年齢階層×在院期間区分F2[#Headers],0)),0)+IFERROR(INDEX(年齢階層×在院期間区分F2[#All],MATCH($AH9,年齢階層×在院期間区分F2[[#All],[行ラベル]],0),MATCH($AK$3,年齢階層×在院期間区分F2[#Headers],0)),0)+IFERROR(INDEX(年齢階層×在院期間区分F2[#All],MATCH($AH9,年齢階層×在院期間区分F2[[#All],[行ラベル]],0),MATCH($AL$3,年齢階層×在院期間区分F2[#Headers],0)),0)</f>
        <v>402</v>
      </c>
      <c r="D9" s="209">
        <f t="shared" si="0"/>
        <v>0.19151977131967604</v>
      </c>
      <c r="E9" s="232">
        <f>IFERROR(INDEX(年齢階層×在院期間区分F2[#All],MATCH($AH9,年齢階層×在院期間区分F2[[#All],[行ラベル]],0),MATCH($AM$3,年齢階層×在院期間区分F2[#Headers],0)),0)+IFERROR(INDEX(年齢階層×在院期間区分F2[#All],MATCH($AH9,年齢階層×在院期間区分F2[[#All],[行ラベル]],0),MATCH($AN$3,年齢階層×在院期間区分F2[#Headers],0)),0)+IFERROR(INDEX(年齢階層×在院期間区分F2[#All],MATCH($AH9,年齢階層×在院期間区分F2[[#All],[行ラベル]],0),MATCH($AO$3,年齢階層×在院期間区分F2[#Headers],0)),0)+IFERROR(INDEX(年齢階層×在院期間区分F2[#All],MATCH($AH9,年齢階層×在院期間区分F2[[#All],[行ラベル]],0),MATCH($AP$3,年齢階層×在院期間区分F2[#Headers],0)),0)+IFERROR(INDEX(年齢階層×在院期間区分F2[#All],MATCH($AH9,年齢階層×在院期間区分F2[[#All],[行ラベル]],0),MATCH($AQ$3,年齢階層×在院期間区分F2[#Headers],0)),0)</f>
        <v>509</v>
      </c>
      <c r="F9" s="209">
        <f t="shared" si="1"/>
        <v>0.21678023850085179</v>
      </c>
      <c r="G9" s="231">
        <f>IFERROR(INDEX(年齢階層×在院期間区分F2[#All],MATCH($AH9,年齢階層×在院期間区分F2[[#All],[行ラベル]],0),MATCH($AR$3,年齢階層×在院期間区分F2[#Headers],0)),0)+IFERROR(INDEX(年齢階層×在院期間区分F2[#All],MATCH($AH9,年齢階層×在院期間区分F2[[#All],[行ラベル]],0),MATCH($AS$3,年齢階層×在院期間区分F2[#Headers],0)),0)+IFERROR(INDEX(年齢階層×在院期間区分F2[#All],MATCH($AH9,年齢階層×在院期間区分F2[[#All],[行ラベル]],0),MATCH($AT$3,年齢階層×在院期間区分F2[#Headers],0)),0)+IFERROR(INDEX(年齢階層×在院期間区分F2[#All],MATCH($AH9,年齢階層×在院期間区分F2[[#All],[行ラベル]],0),MATCH($AU$3,年齢階層×在院期間区分F2[#Headers],0)),0)+IFERROR(INDEX(年齢階層×在院期間区分F2[#All],MATCH($AH9,年齢階層×在院期間区分F2[[#All],[行ラベル]],0),MATCH($AV$3,年齢階層×在院期間区分F2[#Headers],0)),0)</f>
        <v>283</v>
      </c>
      <c r="H9" s="209">
        <f t="shared" si="2"/>
        <v>0.22658126501200962</v>
      </c>
      <c r="I9" s="208">
        <f>IFERROR(INDEX(年齢階層×在院期間区分F2[#All],MATCH($AH9,年齢階層×在院期間区分F2[[#All],[行ラベル]],0),MATCH($AW$3,年齢階層×在院期間区分F2[#Headers],0)),0)+IFERROR(INDEX(年齢階層×在院期間区分F2[#All],MATCH($AH9,年齢階層×在院期間区分F2[[#All],[行ラベル]],0),MATCH($AX$3,年齢階層×在院期間区分F2[#Headers],0)),0)</f>
        <v>470</v>
      </c>
      <c r="J9" s="209">
        <f t="shared" si="3"/>
        <v>0.24867724867724866</v>
      </c>
      <c r="K9" s="208">
        <f t="shared" si="4"/>
        <v>1664</v>
      </c>
      <c r="L9" s="209">
        <f t="shared" si="5"/>
        <v>0.21935143685736883</v>
      </c>
      <c r="O9" s="54" t="s">
        <v>7</v>
      </c>
      <c r="P9" s="66">
        <v>95</v>
      </c>
      <c r="Q9" s="66">
        <v>99</v>
      </c>
      <c r="R9" s="66">
        <v>88</v>
      </c>
      <c r="S9" s="66">
        <v>120</v>
      </c>
      <c r="T9" s="66">
        <v>91</v>
      </c>
      <c r="U9" s="66">
        <v>88</v>
      </c>
      <c r="V9" s="66">
        <v>114</v>
      </c>
      <c r="W9" s="66">
        <v>122</v>
      </c>
      <c r="X9" s="66">
        <v>94</v>
      </c>
      <c r="Y9" s="66">
        <v>69</v>
      </c>
      <c r="Z9" s="66">
        <v>66</v>
      </c>
      <c r="AA9" s="66">
        <v>59</v>
      </c>
      <c r="AB9" s="66">
        <v>43</v>
      </c>
      <c r="AC9" s="66">
        <v>46</v>
      </c>
      <c r="AD9" s="66">
        <v>271</v>
      </c>
      <c r="AE9" s="66">
        <v>199</v>
      </c>
      <c r="AH9" s="54" t="s">
        <v>7</v>
      </c>
      <c r="AI9" s="67"/>
      <c r="AJ9" s="67"/>
      <c r="AL9" s="81"/>
    </row>
    <row r="10" spans="2:50" s="22" customFormat="1" ht="18.75" customHeight="1" x14ac:dyDescent="0.15">
      <c r="B10" s="230" t="s">
        <v>8</v>
      </c>
      <c r="C10" s="232">
        <f>IFERROR(INDEX(年齢階層×在院期間区分F2[#All],MATCH($AH10,年齢階層×在院期間区分F2[[#All],[行ラベル]],0),MATCH($AI$3,年齢階層×在院期間区分F2[#Headers],0)),0)+IFERROR(INDEX(年齢階層×在院期間区分F2[#All],MATCH($AH10,年齢階層×在院期間区分F2[[#All],[行ラベル]],0),MATCH($AJ$3,年齢階層×在院期間区分F2[#Headers],0)),0)+IFERROR(INDEX(年齢階層×在院期間区分F2[#All],MATCH($AH10,年齢階層×在院期間区分F2[[#All],[行ラベル]],0),MATCH($AK$3,年齢階層×在院期間区分F2[#Headers],0)),0)+IFERROR(INDEX(年齢階層×在院期間区分F2[#All],MATCH($AH10,年齢階層×在院期間区分F2[[#All],[行ラベル]],0),MATCH($AL$3,年齢階層×在院期間区分F2[#Headers],0)),0)</f>
        <v>392</v>
      </c>
      <c r="D10" s="209">
        <f t="shared" si="0"/>
        <v>0.1867555979037637</v>
      </c>
      <c r="E10" s="231">
        <f>IFERROR(INDEX(年齢階層×在院期間区分F2[#All],MATCH($AH10,年齢階層×在院期間区分F2[[#All],[行ラベル]],0),MATCH($AM$3,年齢階層×在院期間区分F2[#Headers],0)),0)+IFERROR(INDEX(年齢階層×在院期間区分F2[#All],MATCH($AH10,年齢階層×在院期間区分F2[[#All],[行ラベル]],0),MATCH($AN$3,年齢階層×在院期間区分F2[#Headers],0)),0)+IFERROR(INDEX(年齢階層×在院期間区分F2[#All],MATCH($AH10,年齢階層×在院期間区分F2[[#All],[行ラベル]],0),MATCH($AO$3,年齢階層×在院期間区分F2[#Headers],0)),0)+IFERROR(INDEX(年齢階層×在院期間区分F2[#All],MATCH($AH10,年齢階層×在院期間区分F2[[#All],[行ラベル]],0),MATCH($AP$3,年齢階層×在院期間区分F2[#Headers],0)),0)+IFERROR(INDEX(年齢階層×在院期間区分F2[#All],MATCH($AH10,年齢階層×在院期間区分F2[[#All],[行ラベル]],0),MATCH($AQ$3,年齢階層×在院期間区分F2[#Headers],0)),0)</f>
        <v>610</v>
      </c>
      <c r="F10" s="209">
        <f t="shared" si="1"/>
        <v>0.25979557069846676</v>
      </c>
      <c r="G10" s="231">
        <f>IFERROR(INDEX(年齢階層×在院期間区分F2[#All],MATCH($AH10,年齢階層×在院期間区分F2[[#All],[行ラベル]],0),MATCH($AR$3,年齢階層×在院期間区分F2[#Headers],0)),0)+IFERROR(INDEX(年齢階層×在院期間区分F2[#All],MATCH($AH10,年齢階層×在院期間区分F2[[#All],[行ラベル]],0),MATCH($AS$3,年齢階層×在院期間区分F2[#Headers],0)),0)+IFERROR(INDEX(年齢階層×在院期間区分F2[#All],MATCH($AH10,年齢階層×在院期間区分F2[[#All],[行ラベル]],0),MATCH($AT$3,年齢階層×在院期間区分F2[#Headers],0)),0)+IFERROR(INDEX(年齢階層×在院期間区分F2[#All],MATCH($AH10,年齢階層×在院期間区分F2[[#All],[行ラベル]],0),MATCH($AU$3,年齢階層×在院期間区分F2[#Headers],0)),0)+IFERROR(INDEX(年齢階層×在院期間区分F2[#All],MATCH($AH10,年齢階層×在院期間区分F2[[#All],[行ラベル]],0),MATCH($AV$3,年齢階層×在院期間区分F2[#Headers],0)),0)</f>
        <v>308</v>
      </c>
      <c r="H10" s="209">
        <f t="shared" si="2"/>
        <v>0.24659727782225779</v>
      </c>
      <c r="I10" s="208">
        <f>IFERROR(INDEX(年齢階層×在院期間区分F2[#All],MATCH($AH10,年齢階層×在院期間区分F2[[#All],[行ラベル]],0),MATCH($AW$3,年齢階層×在院期間区分F2[#Headers],0)),0)+IFERROR(INDEX(年齢階層×在院期間区分F2[#All],MATCH($AH10,年齢階層×在院期間区分F2[[#All],[行ラベル]],0),MATCH($AX$3,年齢階層×在院期間区分F2[#Headers],0)),0)</f>
        <v>591</v>
      </c>
      <c r="J10" s="209">
        <f t="shared" si="3"/>
        <v>0.3126984126984127</v>
      </c>
      <c r="K10" s="208">
        <f t="shared" si="4"/>
        <v>1901</v>
      </c>
      <c r="L10" s="209">
        <f t="shared" si="5"/>
        <v>0.25059319799630897</v>
      </c>
      <c r="O10" s="54" t="s">
        <v>8</v>
      </c>
      <c r="P10" s="66">
        <v>100</v>
      </c>
      <c r="Q10" s="66">
        <v>77</v>
      </c>
      <c r="R10" s="66">
        <v>78</v>
      </c>
      <c r="S10" s="66">
        <v>137</v>
      </c>
      <c r="T10" s="66">
        <v>109</v>
      </c>
      <c r="U10" s="66">
        <v>94</v>
      </c>
      <c r="V10" s="66">
        <v>162</v>
      </c>
      <c r="W10" s="66">
        <v>147</v>
      </c>
      <c r="X10" s="66">
        <v>98</v>
      </c>
      <c r="Y10" s="66">
        <v>77</v>
      </c>
      <c r="Z10" s="66">
        <v>69</v>
      </c>
      <c r="AA10" s="66">
        <v>62</v>
      </c>
      <c r="AB10" s="66">
        <v>48</v>
      </c>
      <c r="AC10" s="66">
        <v>52</v>
      </c>
      <c r="AD10" s="66">
        <v>312</v>
      </c>
      <c r="AE10" s="66">
        <v>279</v>
      </c>
      <c r="AH10" s="54" t="s">
        <v>8</v>
      </c>
      <c r="AI10" s="67"/>
      <c r="AJ10" s="67"/>
      <c r="AL10" s="81"/>
    </row>
    <row r="11" spans="2:50" s="22" customFormat="1" ht="18.75" customHeight="1" x14ac:dyDescent="0.15">
      <c r="B11" s="230" t="s">
        <v>9</v>
      </c>
      <c r="C11" s="208">
        <f>IFERROR(INDEX(年齢階層×在院期間区分F2[#All],MATCH($AH11,年齢階層×在院期間区分F2[[#All],[行ラベル]],0),MATCH($AI$3,年齢階層×在院期間区分F2[#Headers],0)),0)+IFERROR(INDEX(年齢階層×在院期間区分F2[#All],MATCH($AH11,年齢階層×在院期間区分F2[[#All],[行ラベル]],0),MATCH($AJ$3,年齢階層×在院期間区分F2[#Headers],0)),0)+IFERROR(INDEX(年齢階層×在院期間区分F2[#All],MATCH($AH11,年齢階層×在院期間区分F2[[#All],[行ラベル]],0),MATCH($AK$3,年齢階層×在院期間区分F2[#Headers],0)),0)+IFERROR(INDEX(年齢階層×在院期間区分F2[#All],MATCH($AH11,年齢階層×在院期間区分F2[[#All],[行ラベル]],0),MATCH($AL$3,年齢階層×在院期間区分F2[#Headers],0)),0)</f>
        <v>150</v>
      </c>
      <c r="D11" s="209">
        <f t="shared" si="0"/>
        <v>7.1462601238685086E-2</v>
      </c>
      <c r="E11" s="231">
        <f>IFERROR(INDEX(年齢階層×在院期間区分F2[#All],MATCH($AH11,年齢階層×在院期間区分F2[[#All],[行ラベル]],0),MATCH($AM$3,年齢階層×在院期間区分F2[#Headers],0)),0)+IFERROR(INDEX(年齢階層×在院期間区分F2[#All],MATCH($AH11,年齢階層×在院期間区分F2[[#All],[行ラベル]],0),MATCH($AN$3,年齢階層×在院期間区分F2[#Headers],0)),0)+IFERROR(INDEX(年齢階層×在院期間区分F2[#All],MATCH($AH11,年齢階層×在院期間区分F2[[#All],[行ラベル]],0),MATCH($AO$3,年齢階層×在院期間区分F2[#Headers],0)),0)+IFERROR(INDEX(年齢階層×在院期間区分F2[#All],MATCH($AH11,年齢階層×在院期間区分F2[[#All],[行ラベル]],0),MATCH($AP$3,年齢階層×在院期間区分F2[#Headers],0)),0)+IFERROR(INDEX(年齢階層×在院期間区分F2[#All],MATCH($AH11,年齢階層×在院期間区分F2[[#All],[行ラベル]],0),MATCH($AQ$3,年齢階層×在院期間区分F2[#Headers],0)),0)</f>
        <v>249</v>
      </c>
      <c r="F11" s="209">
        <f t="shared" si="1"/>
        <v>0.10604770017035775</v>
      </c>
      <c r="G11" s="231">
        <f>IFERROR(INDEX(年齢階層×在院期間区分F2[#All],MATCH($AH11,年齢階層×在院期間区分F2[[#All],[行ラベル]],0),MATCH($AR$3,年齢階層×在院期間区分F2[#Headers],0)),0)+IFERROR(INDEX(年齢階層×在院期間区分F2[#All],MATCH($AH11,年齢階層×在院期間区分F2[[#All],[行ラベル]],0),MATCH($AS$3,年齢階層×在院期間区分F2[#Headers],0)),0)+IFERROR(INDEX(年齢階層×在院期間区分F2[#All],MATCH($AH11,年齢階層×在院期間区分F2[[#All],[行ラベル]],0),MATCH($AT$3,年齢階層×在院期間区分F2[#Headers],0)),0)+IFERROR(INDEX(年齢階層×在院期間区分F2[#All],MATCH($AH11,年齢階層×在院期間区分F2[[#All],[行ラベル]],0),MATCH($AU$3,年齢階層×在院期間区分F2[#Headers],0)),0)+IFERROR(INDEX(年齢階層×在院期間区分F2[#All],MATCH($AH11,年齢階層×在院期間区分F2[[#All],[行ラベル]],0),MATCH($AV$3,年齢階層×在院期間区分F2[#Headers],0)),0)</f>
        <v>115</v>
      </c>
      <c r="H11" s="209">
        <f t="shared" si="2"/>
        <v>9.2073658927141713E-2</v>
      </c>
      <c r="I11" s="232">
        <f>IFERROR(INDEX(年齢階層×在院期間区分F2[#All],MATCH($AH11,年齢階層×在院期間区分F2[[#All],[行ラベル]],0),MATCH($AW$3,年齢階層×在院期間区分F2[#Headers],0)),0)+IFERROR(INDEX(年齢階層×在院期間区分F2[#All],MATCH($AH11,年齢階層×在院期間区分F2[[#All],[行ラベル]],0),MATCH($AX$3,年齢階層×在院期間区分F2[#Headers],0)),0)</f>
        <v>199</v>
      </c>
      <c r="J11" s="209">
        <f t="shared" si="3"/>
        <v>0.1052910052910053</v>
      </c>
      <c r="K11" s="208">
        <f t="shared" si="4"/>
        <v>713</v>
      </c>
      <c r="L11" s="209">
        <f t="shared" si="5"/>
        <v>9.3988926970735562E-2</v>
      </c>
      <c r="O11" s="54" t="s">
        <v>9</v>
      </c>
      <c r="P11" s="66">
        <v>38</v>
      </c>
      <c r="Q11" s="66">
        <v>34</v>
      </c>
      <c r="R11" s="66">
        <v>31</v>
      </c>
      <c r="S11" s="66">
        <v>47</v>
      </c>
      <c r="T11" s="66">
        <v>40</v>
      </c>
      <c r="U11" s="66">
        <v>36</v>
      </c>
      <c r="V11" s="66">
        <v>74</v>
      </c>
      <c r="W11" s="66">
        <v>58</v>
      </c>
      <c r="X11" s="66">
        <v>41</v>
      </c>
      <c r="Y11" s="66">
        <v>31</v>
      </c>
      <c r="Z11" s="66">
        <v>20</v>
      </c>
      <c r="AA11" s="66">
        <v>27</v>
      </c>
      <c r="AB11" s="66">
        <v>20</v>
      </c>
      <c r="AC11" s="66">
        <v>17</v>
      </c>
      <c r="AD11" s="66">
        <v>104</v>
      </c>
      <c r="AE11" s="66">
        <v>95</v>
      </c>
      <c r="AH11" s="54" t="s">
        <v>9</v>
      </c>
      <c r="AI11" s="67"/>
      <c r="AJ11" s="67"/>
      <c r="AL11" s="81"/>
    </row>
    <row r="12" spans="2:50" s="22" customFormat="1" ht="18.75" customHeight="1" thickBot="1" x14ac:dyDescent="0.2">
      <c r="B12" s="233" t="s">
        <v>10</v>
      </c>
      <c r="C12" s="234">
        <f>IFERROR(INDEX(年齢階層×在院期間区分F2[#All],MATCH($AH12,年齢階層×在院期間区分F2[[#All],[行ラベル]],0),MATCH($AI$3,年齢階層×在院期間区分F2[#Headers],0)),0)+IFERROR(INDEX(年齢階層×在院期間区分F2[#All],MATCH($AH12,年齢階層×在院期間区分F2[[#All],[行ラベル]],0),MATCH($AJ$3,年齢階層×在院期間区分F2[#Headers],0)),0)+IFERROR(INDEX(年齢階層×在院期間区分F2[#All],MATCH($AH12,年齢階層×在院期間区分F2[[#All],[行ラベル]],0),MATCH($AK$3,年齢階層×在院期間区分F2[#Headers],0)),0)+IFERROR(INDEX(年齢階層×在院期間区分F2[#All],MATCH($AH12,年齢階層×在院期間区分F2[[#All],[行ラベル]],0),MATCH($AL$3,年齢階層×在院期間区分F2[#Headers],0)),0)</f>
        <v>12</v>
      </c>
      <c r="D12" s="225">
        <f t="shared" si="0"/>
        <v>5.717008099094807E-3</v>
      </c>
      <c r="E12" s="211">
        <f>IFERROR(INDEX(年齢階層×在院期間区分F2[#All],MATCH($AH12,年齢階層×在院期間区分F2[[#All],[行ラベル]],0),MATCH($AM$3,年齢階層×在院期間区分F2[#Headers],0)),0)+IFERROR(INDEX(年齢階層×在院期間区分F2[#All],MATCH($AH12,年齢階層×在院期間区分F2[[#All],[行ラベル]],0),MATCH($AN$3,年齢階層×在院期間区分F2[#Headers],0)),0)+IFERROR(INDEX(年齢階層×在院期間区分F2[#All],MATCH($AH12,年齢階層×在院期間区分F2[[#All],[行ラベル]],0),MATCH($AO$3,年齢階層×在院期間区分F2[#Headers],0)),0)+IFERROR(INDEX(年齢階層×在院期間区分F2[#All],MATCH($AH12,年齢階層×在院期間区分F2[[#All],[行ラベル]],0),MATCH($AP$3,年齢階層×在院期間区分F2[#Headers],0)),0)+IFERROR(INDEX(年齢階層×在院期間区分F2[#All],MATCH($AH12,年齢階層×在院期間区分F2[[#All],[行ラベル]],0),MATCH($AQ$3,年齢階層×在院期間区分F2[#Headers],0)),0)</f>
        <v>20</v>
      </c>
      <c r="F12" s="225">
        <f t="shared" si="1"/>
        <v>8.5178875638841564E-3</v>
      </c>
      <c r="G12" s="211">
        <f>IFERROR(INDEX(年齢階層×在院期間区分F2[#All],MATCH($AH12,年齢階層×在院期間区分F2[[#All],[行ラベル]],0),MATCH($AR$3,年齢階層×在院期間区分F2[#Headers],0)),0)+IFERROR(INDEX(年齢階層×在院期間区分F2[#All],MATCH($AH12,年齢階層×在院期間区分F2[[#All],[行ラベル]],0),MATCH($AS$3,年齢階層×在院期間区分F2[#Headers],0)),0)+IFERROR(INDEX(年齢階層×在院期間区分F2[#All],MATCH($AH12,年齢階層×在院期間区分F2[[#All],[行ラベル]],0),MATCH($AT$3,年齢階層×在院期間区分F2[#Headers],0)),0)+IFERROR(INDEX(年齢階層×在院期間区分F2[#All],MATCH($AH12,年齢階層×在院期間区分F2[[#All],[行ラベル]],0),MATCH($AU$3,年齢階層×在院期間区分F2[#Headers],0)),0)+IFERROR(INDEX(年齢階層×在院期間区分F2[#All],MATCH($AH12,年齢階層×在院期間区分F2[[#All],[行ラベル]],0),MATCH($AV$3,年齢階層×在院期間区分F2[#Headers],0)),0)</f>
        <v>12</v>
      </c>
      <c r="H12" s="225">
        <f t="shared" si="2"/>
        <v>9.6076861489191347E-3</v>
      </c>
      <c r="I12" s="211">
        <f>IFERROR(INDEX(年齢階層×在院期間区分F2[#All],MATCH($AH12,年齢階層×在院期間区分F2[[#All],[行ラベル]],0),MATCH($AW$3,年齢階層×在院期間区分F2[#Headers],0)),0)+IFERROR(INDEX(年齢階層×在院期間区分F2[#All],MATCH($AH12,年齢階層×在院期間区分F2[[#All],[行ラベル]],0),MATCH($AX$3,年齢階層×在院期間区分F2[#Headers],0)),0)</f>
        <v>29</v>
      </c>
      <c r="J12" s="225">
        <f t="shared" si="3"/>
        <v>1.5343915343915344E-2</v>
      </c>
      <c r="K12" s="211">
        <f t="shared" si="4"/>
        <v>73</v>
      </c>
      <c r="L12" s="225">
        <f t="shared" si="5"/>
        <v>9.6229897179013965E-3</v>
      </c>
      <c r="O12" s="54" t="s">
        <v>10</v>
      </c>
      <c r="P12" s="66">
        <v>4</v>
      </c>
      <c r="Q12" s="66">
        <v>2</v>
      </c>
      <c r="R12" s="66">
        <v>1</v>
      </c>
      <c r="S12" s="66">
        <v>5</v>
      </c>
      <c r="T12" s="66">
        <v>4</v>
      </c>
      <c r="U12" s="66">
        <v>3</v>
      </c>
      <c r="V12" s="66">
        <v>5</v>
      </c>
      <c r="W12" s="66">
        <v>5</v>
      </c>
      <c r="X12" s="66">
        <v>3</v>
      </c>
      <c r="Y12" s="66">
        <v>5</v>
      </c>
      <c r="Z12" s="66">
        <v>4</v>
      </c>
      <c r="AA12" s="66">
        <v>2</v>
      </c>
      <c r="AB12" s="66"/>
      <c r="AC12" s="66">
        <v>1</v>
      </c>
      <c r="AD12" s="66">
        <v>16</v>
      </c>
      <c r="AE12" s="66">
        <v>13</v>
      </c>
      <c r="AH12" s="54" t="s">
        <v>10</v>
      </c>
      <c r="AI12" s="67"/>
      <c r="AJ12" s="67"/>
      <c r="AL12" s="81"/>
    </row>
    <row r="13" spans="2:50" s="22" customFormat="1" ht="18.75" customHeight="1" thickTop="1" thickBot="1" x14ac:dyDescent="0.2">
      <c r="B13" s="235" t="s">
        <v>161</v>
      </c>
      <c r="C13" s="236">
        <f t="shared" ref="C13:L13" si="6">SUM(C4:C12)</f>
        <v>2099</v>
      </c>
      <c r="D13" s="237">
        <f t="shared" si="6"/>
        <v>1</v>
      </c>
      <c r="E13" s="236">
        <f t="shared" si="6"/>
        <v>2348</v>
      </c>
      <c r="F13" s="237">
        <f t="shared" si="6"/>
        <v>0.99999999999999989</v>
      </c>
      <c r="G13" s="236">
        <f t="shared" si="6"/>
        <v>1249</v>
      </c>
      <c r="H13" s="237">
        <f t="shared" si="6"/>
        <v>1</v>
      </c>
      <c r="I13" s="236">
        <f t="shared" si="6"/>
        <v>1890</v>
      </c>
      <c r="J13" s="237">
        <f t="shared" si="6"/>
        <v>1</v>
      </c>
      <c r="K13" s="236">
        <f t="shared" si="6"/>
        <v>7586</v>
      </c>
      <c r="L13" s="237">
        <f t="shared" si="6"/>
        <v>1</v>
      </c>
      <c r="O13" s="429" t="s">
        <v>308</v>
      </c>
      <c r="P13" s="503" t="s">
        <v>182</v>
      </c>
      <c r="Q13" s="62" t="s">
        <v>183</v>
      </c>
      <c r="R13" s="62" t="s">
        <v>184</v>
      </c>
      <c r="S13" s="62" t="s">
        <v>185</v>
      </c>
      <c r="T13" s="62" t="s">
        <v>186</v>
      </c>
      <c r="U13" s="62" t="s">
        <v>187</v>
      </c>
      <c r="V13" s="62" t="s">
        <v>188</v>
      </c>
      <c r="W13" s="62" t="s">
        <v>189</v>
      </c>
      <c r="X13" s="62" t="s">
        <v>190</v>
      </c>
      <c r="Y13" s="62" t="s">
        <v>191</v>
      </c>
      <c r="Z13" s="62" t="s">
        <v>192</v>
      </c>
      <c r="AA13" s="62" t="s">
        <v>193</v>
      </c>
      <c r="AB13" s="62" t="s">
        <v>194</v>
      </c>
      <c r="AC13" s="62" t="s">
        <v>195</v>
      </c>
      <c r="AD13" s="62" t="s">
        <v>196</v>
      </c>
      <c r="AE13" s="377" t="s">
        <v>197</v>
      </c>
      <c r="AH13" s="81"/>
      <c r="AI13" s="81"/>
      <c r="AL13" s="81"/>
    </row>
    <row r="14" spans="2:50" s="22" customFormat="1" ht="18.75" customHeight="1" thickTop="1" x14ac:dyDescent="0.15">
      <c r="B14" s="238" t="s">
        <v>93</v>
      </c>
      <c r="C14" s="239">
        <f>IFERROR(INDEX(年齢階層×在院期間区分F2_65歳未満以上[#All],MATCH($AH14,年齢階層×在院期間区分F2_65歳未満以上[[#All],[列1]],0),MATCH($AI$3,年齢階層×在院期間区分F2_65歳未満以上[#Headers],0)),0)+IFERROR(INDEX(年齢階層×在院期間区分F2_65歳未満以上[#All],MATCH($AH14,年齢階層×在院期間区分F2_65歳未満以上[[#All],[列1]],0),MATCH($AJ$3,年齢階層×在院期間区分F2_65歳未満以上[#Headers],0)),0)+IFERROR(INDEX(年齢階層×在院期間区分F2_65歳未満以上[#All],MATCH($AH14,年齢階層×在院期間区分F2_65歳未満以上[[#All],[列1]],0),MATCH($AK$3,年齢階層×在院期間区分F2_65歳未満以上[#Headers],0)),0)+IFERROR(INDEX(年齢階層×在院期間区分F2_65歳未満以上[#All],MATCH($AH14,年齢階層×在院期間区分F2_65歳未満以上[[#All],[列1]],0),MATCH($AL$3,年齢階層×在院期間区分F2_65歳未満以上[#Headers],0)),0)</f>
        <v>1333</v>
      </c>
      <c r="D14" s="210">
        <f>IFERROR(C14/$C$13,"-")</f>
        <v>0.63506431634111482</v>
      </c>
      <c r="E14" s="239">
        <f>IFERROR(INDEX(年齢階層×在院期間区分F2_65歳未満以上[#All],MATCH($AH14,年齢階層×在院期間区分F2_65歳未満以上[[#All],[列1]],0),MATCH($AM$3,年齢階層×在院期間区分F2_65歳未満以上[#Headers],0)),0)+IFERROR(INDEX(年齢階層×在院期間区分F2_65歳未満以上[#All],MATCH($AH14,年齢階層×在院期間区分F2_65歳未満以上[[#All],[列1]],0),MATCH($AN$3,年齢階層×在院期間区分F2_65歳未満以上[#Headers],0)),0)+IFERROR(INDEX(年齢階層×在院期間区分F2_65歳未満以上[#All],MATCH($AH14,年齢階層×在院期間区分F2_65歳未満以上[[#All],[列1]],0),MATCH($AO$3,年齢階層×在院期間区分F2_65歳未満以上[#Headers],0)),0)+IFERROR(INDEX(年齢階層×在院期間区分F2_65歳未満以上[#All],MATCH($AH14,年齢階層×在院期間区分F2_65歳未満以上[[#All],[列1]],0),MATCH($AP$3,年齢階層×在院期間区分F2_65歳未満以上[#Headers],0)),0)+IFERROR(INDEX(年齢階層×在院期間区分F2_65歳未満以上[#All],MATCH($AH14,年齢階層×在院期間区分F2_65歳未満以上[[#All],[列1]],0),MATCH($AQ$3,年齢階層×在院期間区分F2_65歳未満以上[#Headers],0)),0)</f>
        <v>1183</v>
      </c>
      <c r="F14" s="210">
        <f>IFERROR(E14/$E$13,"-")</f>
        <v>0.50383304940374785</v>
      </c>
      <c r="G14" s="239">
        <f>IFERROR(INDEX(年齢階層×在院期間区分F2_65歳未満以上[#All],MATCH($AH14,年齢階層×在院期間区分F2_65歳未満以上[[#All],[列1]],0),MATCH($AR$3,年齢階層×在院期間区分F2_65歳未満以上[#Headers],0)),0)+IFERROR(INDEX(年齢階層×在院期間区分F2_65歳未満以上[#All],MATCH($AH14,年齢階層×在院期間区分F2_65歳未満以上[[#All],[列1]],0),MATCH($AS$3,年齢階層×在院期間区分F2_65歳未満以上[#Headers],0)),0)+IFERROR(INDEX(年齢階層×在院期間区分F2_65歳未満以上[#All],MATCH($AH14,年齢階層×在院期間区分F2_65歳未満以上[[#All],[列1]],0),MATCH($AT$3,年齢階層×在院期間区分F2_65歳未満以上[#Headers],0)),0)+IFERROR(INDEX(年齢階層×在院期間区分F2_65歳未満以上[#All],MATCH($AH14,年齢階層×在院期間区分F2_65歳未満以上[[#All],[列1]],0),MATCH($AU$3,年齢階層×在院期間区分F2_65歳未満以上[#Headers],0)),0)+IFERROR(INDEX(年齢階層×在院期間区分F2_65歳未満以上[#All],MATCH($AH14,年齢階層×在院期間区分F2_65歳未満以上[[#All],[列1]],0),MATCH($AV$3,年齢階層×在院期間区分F2_65歳未満以上[#Headers],0)),0)</f>
        <v>666</v>
      </c>
      <c r="H14" s="210">
        <f>IFERROR(G14/$G$13,"-")</f>
        <v>0.53322658126501199</v>
      </c>
      <c r="I14" s="239">
        <f>IFERROR(INDEX(年齢階層×在院期間区分F2_65歳未満以上[#All],MATCH($AH14,年齢階層×在院期間区分F2_65歳未満以上[[#All],[列1]],0),MATCH($AW$3,年齢階層×在院期間区分F2_65歳未満以上[#Headers],0)),0)+IFERROR(INDEX(年齢階層×在院期間区分F2_65歳未満以上[#All],MATCH($AH14,年齢階層×在院期間区分F2_65歳未満以上[[#All],[列1]],0),MATCH($AX$3,年齢階層×在院期間区分F2_65歳未満以上[#Headers],0)),0)</f>
        <v>831</v>
      </c>
      <c r="J14" s="210">
        <f>IFERROR(I14/$I$13,"-")</f>
        <v>0.43968253968253967</v>
      </c>
      <c r="K14" s="239">
        <f>C14+E14+G14+I14</f>
        <v>4013</v>
      </c>
      <c r="L14" s="210">
        <f>IFERROR(K14/$K$13,"-")</f>
        <v>0.52900079093066177</v>
      </c>
      <c r="O14" s="54" t="s">
        <v>307</v>
      </c>
      <c r="P14" s="66">
        <v>154</v>
      </c>
      <c r="Q14" s="66">
        <v>186</v>
      </c>
      <c r="R14" s="66">
        <v>164</v>
      </c>
      <c r="S14" s="66">
        <v>262</v>
      </c>
      <c r="T14" s="66">
        <v>210</v>
      </c>
      <c r="U14" s="66">
        <v>188</v>
      </c>
      <c r="V14" s="66">
        <v>303</v>
      </c>
      <c r="W14" s="66">
        <v>271</v>
      </c>
      <c r="X14" s="66">
        <v>193</v>
      </c>
      <c r="Y14" s="66">
        <v>152</v>
      </c>
      <c r="Z14" s="66">
        <v>124</v>
      </c>
      <c r="AA14" s="66">
        <v>126</v>
      </c>
      <c r="AB14" s="66">
        <v>89</v>
      </c>
      <c r="AC14" s="66">
        <v>92</v>
      </c>
      <c r="AD14" s="66">
        <v>564</v>
      </c>
      <c r="AE14" s="66">
        <v>495</v>
      </c>
      <c r="AH14" s="83" t="s">
        <v>156</v>
      </c>
    </row>
    <row r="15" spans="2:50" s="22" customFormat="1" ht="18.75" customHeight="1" x14ac:dyDescent="0.15">
      <c r="B15" s="240" t="s">
        <v>89</v>
      </c>
      <c r="C15" s="239">
        <f>IFERROR(INDEX(年齢階層×在院期間区分F2_65歳未満以上[#All],MATCH($AH15,年齢階層×在院期間区分F2_65歳未満以上[[#All],[列1]],0),MATCH($AI$3,年齢階層×在院期間区分F2_65歳未満以上[#Headers],0)),0)+IFERROR(INDEX(年齢階層×在院期間区分F2_65歳未満以上[#All],MATCH($AH15,年齢階層×在院期間区分F2_65歳未満以上[[#All],[列1]],0),MATCH($AJ$3,年齢階層×在院期間区分F2_65歳未満以上[#Headers],0)),0)+IFERROR(INDEX(年齢階層×在院期間区分F2_65歳未満以上[#All],MATCH($AH15,年齢階層×在院期間区分F2_65歳未満以上[[#All],[列1]],0),MATCH($AK$3,年齢階層×在院期間区分F2_65歳未満以上[#Headers],0)),0)+IFERROR(INDEX(年齢階層×在院期間区分F2_65歳未満以上[#All],MATCH($AH15,年齢階層×在院期間区分F2_65歳未満以上[[#All],[列1]],0),MATCH($AL$3,年齢階層×在院期間区分F2_65歳未満以上[#Headers],0)),0)</f>
        <v>766</v>
      </c>
      <c r="D15" s="241">
        <f>IFERROR(C15/$C$13,"-")</f>
        <v>0.36493568365888518</v>
      </c>
      <c r="E15" s="239">
        <f>IFERROR(INDEX(年齢階層×在院期間区分F2_65歳未満以上[#All],MATCH($AH15,年齢階層×在院期間区分F2_65歳未満以上[[#All],[列1]],0),MATCH($AM$3,年齢階層×在院期間区分F2_65歳未満以上[#Headers],0)),0)+IFERROR(INDEX(年齢階層×在院期間区分F2_65歳未満以上[#All],MATCH($AH15,年齢階層×在院期間区分F2_65歳未満以上[[#All],[列1]],0),MATCH($AN$3,年齢階層×在院期間区分F2_65歳未満以上[#Headers],0)),0)+IFERROR(INDEX(年齢階層×在院期間区分F2_65歳未満以上[#All],MATCH($AH15,年齢階層×在院期間区分F2_65歳未満以上[[#All],[列1]],0),MATCH($AO$3,年齢階層×在院期間区分F2_65歳未満以上[#Headers],0)),0)+IFERROR(INDEX(年齢階層×在院期間区分F2_65歳未満以上[#All],MATCH($AH15,年齢階層×在院期間区分F2_65歳未満以上[[#All],[列1]],0),MATCH($AP$3,年齢階層×在院期間区分F2_65歳未満以上[#Headers],0)),0)+IFERROR(INDEX(年齢階層×在院期間区分F2_65歳未満以上[#All],MATCH($AH15,年齢階層×在院期間区分F2_65歳未満以上[[#All],[列1]],0),MATCH($AQ$3,年齢階層×在院期間区分F2_65歳未満以上[#Headers],0)),0)</f>
        <v>1165</v>
      </c>
      <c r="F15" s="241">
        <f>IFERROR(E15/$E$13,"-")</f>
        <v>0.49616695059625215</v>
      </c>
      <c r="G15" s="239">
        <f>IFERROR(INDEX(年齢階層×在院期間区分F2_65歳未満以上[#All],MATCH($AH15,年齢階層×在院期間区分F2_65歳未満以上[[#All],[列1]],0),MATCH($AR$3,年齢階層×在院期間区分F2_65歳未満以上[#Headers],0)),0)+IFERROR(INDEX(年齢階層×在院期間区分F2_65歳未満以上[#All],MATCH($AH15,年齢階層×在院期間区分F2_65歳未満以上[[#All],[列1]],0),MATCH($AS$3,年齢階層×在院期間区分F2_65歳未満以上[#Headers],0)),0)+IFERROR(INDEX(年齢階層×在院期間区分F2_65歳未満以上[#All],MATCH($AH15,年齢階層×在院期間区分F2_65歳未満以上[[#All],[列1]],0),MATCH($AT$3,年齢階層×在院期間区分F2_65歳未満以上[#Headers],0)),0)+IFERROR(INDEX(年齢階層×在院期間区分F2_65歳未満以上[#All],MATCH($AH15,年齢階層×在院期間区分F2_65歳未満以上[[#All],[列1]],0),MATCH($AU$3,年齢階層×在院期間区分F2_65歳未満以上[#Headers],0)),0)+IFERROR(INDEX(年齢階層×在院期間区分F2_65歳未満以上[#All],MATCH($AH15,年齢階層×在院期間区分F2_65歳未満以上[[#All],[列1]],0),MATCH($AV$3,年齢階層×在院期間区分F2_65歳未満以上[#Headers],0)),0)</f>
        <v>583</v>
      </c>
      <c r="H15" s="241">
        <f>IFERROR(G15/$G$13,"-")</f>
        <v>0.46677341873498801</v>
      </c>
      <c r="I15" s="239">
        <f>IFERROR(INDEX(年齢階層×在院期間区分F2_65歳未満以上[#All],MATCH($AH15,年齢階層×在院期間区分F2_65歳未満以上[[#All],[列1]],0),MATCH($AW$3,年齢階層×在院期間区分F2_65歳未満以上[#Headers],0)),0)+IFERROR(INDEX(年齢階層×在院期間区分F2_65歳未満以上[#All],MATCH($AH15,年齢階層×在院期間区分F2_65歳未満以上[[#All],[列1]],0),MATCH($AX$3,年齢階層×在院期間区分F2_65歳未満以上[#Headers],0)),0)</f>
        <v>1059</v>
      </c>
      <c r="J15" s="241">
        <f>IFERROR(I15/$I$13,"-")</f>
        <v>0.56031746031746033</v>
      </c>
      <c r="K15" s="239">
        <f>C15+E15+G15+I15</f>
        <v>3573</v>
      </c>
      <c r="L15" s="241">
        <f>IFERROR(K15/$K$13,"-")</f>
        <v>0.47099920906933823</v>
      </c>
      <c r="O15" s="83" t="s">
        <v>306</v>
      </c>
      <c r="P15" s="66">
        <v>410</v>
      </c>
      <c r="Q15" s="66">
        <v>421</v>
      </c>
      <c r="R15" s="66">
        <v>244</v>
      </c>
      <c r="S15" s="66">
        <v>258</v>
      </c>
      <c r="T15" s="66">
        <v>190</v>
      </c>
      <c r="U15" s="66">
        <v>197</v>
      </c>
      <c r="V15" s="66">
        <v>321</v>
      </c>
      <c r="W15" s="66">
        <v>274</v>
      </c>
      <c r="X15" s="66">
        <v>201</v>
      </c>
      <c r="Y15" s="66">
        <v>159</v>
      </c>
      <c r="Z15" s="66">
        <v>166</v>
      </c>
      <c r="AA15" s="66">
        <v>121</v>
      </c>
      <c r="AB15" s="66">
        <v>114</v>
      </c>
      <c r="AC15" s="66">
        <v>106</v>
      </c>
      <c r="AD15" s="66">
        <v>561</v>
      </c>
      <c r="AE15" s="66">
        <v>270</v>
      </c>
      <c r="AH15" s="83" t="s">
        <v>88</v>
      </c>
    </row>
    <row r="16" spans="2:50" ht="18.75" customHeight="1" x14ac:dyDescent="0.15"/>
    <row r="17" spans="2:38" ht="18.75" customHeight="1" x14ac:dyDescent="0.15">
      <c r="B17" s="2" t="s">
        <v>75</v>
      </c>
    </row>
    <row r="18" spans="2:38" ht="18.75" customHeight="1" thickBot="1" x14ac:dyDescent="0.2">
      <c r="B18" s="714" t="s">
        <v>65</v>
      </c>
      <c r="C18" s="716" t="s">
        <v>64</v>
      </c>
      <c r="D18" s="717"/>
      <c r="E18" s="717"/>
      <c r="F18" s="717"/>
      <c r="G18" s="717"/>
      <c r="H18" s="717"/>
      <c r="I18" s="717"/>
      <c r="J18" s="717"/>
      <c r="K18" s="717"/>
      <c r="L18" s="718"/>
      <c r="O18" s="34" t="s">
        <v>63</v>
      </c>
    </row>
    <row r="19" spans="2:38" ht="18.75" customHeight="1" thickTop="1" thickBot="1" x14ac:dyDescent="0.2">
      <c r="B19" s="715"/>
      <c r="C19" s="719" t="s">
        <v>69</v>
      </c>
      <c r="D19" s="720"/>
      <c r="E19" s="719" t="s">
        <v>70</v>
      </c>
      <c r="F19" s="720"/>
      <c r="G19" s="719" t="s">
        <v>71</v>
      </c>
      <c r="H19" s="720"/>
      <c r="I19" s="719" t="s">
        <v>72</v>
      </c>
      <c r="J19" s="720"/>
      <c r="K19" s="719" t="s">
        <v>62</v>
      </c>
      <c r="L19" s="720"/>
      <c r="O19" s="429" t="s">
        <v>370</v>
      </c>
      <c r="P19" s="503" t="s">
        <v>183</v>
      </c>
      <c r="Q19" s="62" t="s">
        <v>182</v>
      </c>
      <c r="R19" s="62" t="s">
        <v>184</v>
      </c>
      <c r="S19" s="62" t="s">
        <v>185</v>
      </c>
      <c r="T19" s="62" t="s">
        <v>186</v>
      </c>
      <c r="U19" s="62" t="s">
        <v>187</v>
      </c>
      <c r="V19" s="62" t="s">
        <v>188</v>
      </c>
      <c r="W19" s="62" t="s">
        <v>189</v>
      </c>
      <c r="X19" s="62" t="s">
        <v>190</v>
      </c>
      <c r="Y19" s="62" t="s">
        <v>191</v>
      </c>
      <c r="Z19" s="62" t="s">
        <v>192</v>
      </c>
      <c r="AA19" s="62" t="s">
        <v>193</v>
      </c>
      <c r="AB19" s="62" t="s">
        <v>194</v>
      </c>
      <c r="AC19" s="62" t="s">
        <v>195</v>
      </c>
      <c r="AD19" s="62" t="s">
        <v>196</v>
      </c>
      <c r="AE19" s="377" t="s">
        <v>197</v>
      </c>
    </row>
    <row r="20" spans="2:38" s="22" customFormat="1" ht="18.75" customHeight="1" thickTop="1" x14ac:dyDescent="0.15">
      <c r="B20" s="228" t="s">
        <v>2</v>
      </c>
      <c r="C20" s="229">
        <f>IFERROR(INDEX(年齢階層×在院期間区分F2＿寛解・院内寛解[#All],MATCH($AH4,年齢階層×在院期間区分F2＿寛解・院内寛解[[#All],[行ラベル]],0),MATCH($AI$3,年齢階層×在院期間区分F2＿寛解・院内寛解[#Headers],0)),0)+IFERROR(INDEX(年齢階層×在院期間区分F2＿寛解・院内寛解[#All],MATCH($AH4,年齢階層×在院期間区分F2＿寛解・院内寛解[[#All],[行ラベル]],0),MATCH($AJ$3,年齢階層×在院期間区分F2＿寛解・院内寛解[#Headers],0)),0)+IFERROR(INDEX(年齢階層×在院期間区分F2＿寛解・院内寛解[#All],MATCH($AH4,年齢階層×在院期間区分F2＿寛解・院内寛解[[#All],[行ラベル]],0),MATCH($AK$3,年齢階層×在院期間区分F2＿寛解・院内寛解[#Headers],0)),0)+IFERROR(INDEX(年齢階層×在院期間区分F2＿寛解・院内寛解[#All],MATCH($AH4,年齢階層×在院期間区分F2＿寛解・院内寛解[[#All],[行ラベル]],0),MATCH($AL$3,年齢階層×在院期間区分F2＿寛解・院内寛解[#Headers],0)),0)</f>
        <v>4</v>
      </c>
      <c r="D20" s="242">
        <f t="shared" ref="D20:D28" si="7">IFERROR(C20/$C$29,"-")</f>
        <v>1.0282776349614395E-2</v>
      </c>
      <c r="E20" s="229">
        <f>IFERROR(INDEX(年齢階層×在院期間区分F2＿寛解・院内寛解[#All],MATCH($AH4,年齢階層×在院期間区分F2＿寛解・院内寛解[[#All],[行ラベル]],0),MATCH($AM$3,年齢階層×在院期間区分F2＿寛解・院内寛解[#Headers],0)),0)+IFERROR(INDEX(年齢階層×在院期間区分F2＿寛解・院内寛解[#All],MATCH($AH4,年齢階層×在院期間区分F2＿寛解・院内寛解[[#All],[行ラベル]],0),MATCH($AN$3,年齢階層×在院期間区分F2＿寛解・院内寛解[#Headers],0)),0)+IFERROR(INDEX(年齢階層×在院期間区分F2＿寛解・院内寛解[#All],MATCH($AH4,年齢階層×在院期間区分F2＿寛解・院内寛解[[#All],[行ラベル]],0),MATCH($AO$3,年齢階層×在院期間区分F2＿寛解・院内寛解[#Headers],0)),0)+IFERROR(INDEX(年齢階層×在院期間区分F2＿寛解・院内寛解[#All],MATCH($AH4,年齢階層×在院期間区分F2＿寛解・院内寛解[[#All],[行ラベル]],0),MATCH($AP$3,年齢階層×在院期間区分F2＿寛解・院内寛解[#Headers],0)),0)+IFERROR(INDEX(年齢階層×在院期間区分F2＿寛解・院内寛解[#All],MATCH($AH4,年齢階層×在院期間区分F2＿寛解・院内寛解[[#All],[行ラベル]],0),MATCH($AQ$3,年齢階層×在院期間区分F2＿寛解・院内寛解[#Headers],0)),0)</f>
        <v>0</v>
      </c>
      <c r="F20" s="242">
        <f t="shared" ref="F20:F28" si="8">IFERROR(E20/$E$29,"-")</f>
        <v>0</v>
      </c>
      <c r="G20" s="223">
        <f>IFERROR(INDEX(年齢階層×在院期間区分F2＿寛解・院内寛解[#All],MATCH($AH4,年齢階層×在院期間区分F2＿寛解・院内寛解[[#All],[行ラベル]],0),MATCH($AR$3,年齢階層×在院期間区分F2＿寛解・院内寛解[#Headers],0)),0)+IFERROR(INDEX(年齢階層×在院期間区分F2＿寛解・院内寛解[#All],MATCH($AH4,年齢階層×在院期間区分F2＿寛解・院内寛解[[#All],[行ラベル]],0),MATCH($AS$3,年齢階層×在院期間区分F2＿寛解・院内寛解[#Headers],0)),0)+IFERROR(INDEX(年齢階層×在院期間区分F2＿寛解・院内寛解[#All],MATCH($AH4,年齢階層×在院期間区分F2＿寛解・院内寛解[[#All],[行ラベル]],0),MATCH($AT$3,年齢階層×在院期間区分F2＿寛解・院内寛解[#Headers],0)),0)+IFERROR(INDEX(年齢階層×在院期間区分F2＿寛解・院内寛解[#All],MATCH($AH4,年齢階層×在院期間区分F2＿寛解・院内寛解[[#All],[行ラベル]],0),MATCH($AU$3,年齢階層×在院期間区分F2＿寛解・院内寛解[#Headers],0)),0)+IFERROR(INDEX(年齢階層×在院期間区分F2＿寛解・院内寛解[#All],MATCH($AH4,年齢階層×在院期間区分F2＿寛解・院内寛解[[#All],[行ラベル]],0),MATCH($AV$3,年齢階層×在院期間区分F2＿寛解・院内寛解[#Headers],0)),0)</f>
        <v>0</v>
      </c>
      <c r="H20" s="242">
        <f t="shared" ref="H20:H28" si="9">IFERROR(G20/$G$29,"-")</f>
        <v>0</v>
      </c>
      <c r="I20" s="229">
        <f>IFERROR(INDEX(年齢階層×在院期間区分F2＿寛解・院内寛解[#All],MATCH($AH4,年齢階層×在院期間区分F2＿寛解・院内寛解[[#All],[行ラベル]],0),MATCH($AW$3,年齢階層×在院期間区分F2＿寛解・院内寛解[#Headers],0)),0)+IFERROR(INDEX(年齢階層×在院期間区分F2＿寛解・院内寛解[#All],MATCH($AH4,年齢階層×在院期間区分F2＿寛解・院内寛解[[#All],[行ラベル]],0),MATCH($AX$3,年齢階層×在院期間区分F2＿寛解・院内寛解[#Headers],0)),0)</f>
        <v>0</v>
      </c>
      <c r="J20" s="242">
        <f t="shared" ref="J20:J28" si="10">IFERROR(I20/$I$29,"-")</f>
        <v>0</v>
      </c>
      <c r="K20" s="223">
        <f t="shared" ref="K20:K28" si="11">SUM(C20,E20,G20,I20)</f>
        <v>4</v>
      </c>
      <c r="L20" s="242">
        <f t="shared" ref="L20:L28" si="12">IFERROR(K20/$K$29,"-")</f>
        <v>5.6577086280056579E-3</v>
      </c>
      <c r="O20" s="54" t="s">
        <v>2</v>
      </c>
      <c r="P20" s="66">
        <v>2</v>
      </c>
      <c r="Q20" s="66">
        <v>2</v>
      </c>
      <c r="R20" s="66"/>
      <c r="S20" s="66"/>
      <c r="T20" s="66"/>
      <c r="U20" s="66"/>
      <c r="V20" s="66"/>
      <c r="W20" s="66"/>
      <c r="X20" s="66"/>
      <c r="Y20" s="66"/>
      <c r="Z20" s="66"/>
      <c r="AA20" s="66"/>
      <c r="AB20" s="66"/>
      <c r="AC20" s="66"/>
      <c r="AD20" s="66"/>
      <c r="AE20" s="66"/>
      <c r="AH20" s="54" t="s">
        <v>2</v>
      </c>
    </row>
    <row r="21" spans="2:38" s="22" customFormat="1" ht="18.75" customHeight="1" x14ac:dyDescent="0.15">
      <c r="B21" s="230" t="s">
        <v>3</v>
      </c>
      <c r="C21" s="231">
        <f>IFERROR(INDEX(年齢階層×在院期間区分F2＿寛解・院内寛解[#All],MATCH($AH5,年齢階層×在院期間区分F2＿寛解・院内寛解[[#All],[行ラベル]],0),MATCH($AI$3,年齢階層×在院期間区分F2＿寛解・院内寛解[#Headers],0)),0)+IFERROR(INDEX(年齢階層×在院期間区分F2＿寛解・院内寛解[#All],MATCH($AH5,年齢階層×在院期間区分F2＿寛解・院内寛解[[#All],[行ラベル]],0),MATCH($AJ$3,年齢階層×在院期間区分F2＿寛解・院内寛解[#Headers],0)),0)+IFERROR(INDEX(年齢階層×在院期間区分F2＿寛解・院内寛解[#All],MATCH($AH5,年齢階層×在院期間区分F2＿寛解・院内寛解[[#All],[行ラベル]],0),MATCH($AK$3,年齢階層×在院期間区分F2＿寛解・院内寛解[#Headers],0)),0)+IFERROR(INDEX(年齢階層×在院期間区分F2＿寛解・院内寛解[#All],MATCH($AH5,年齢階層×在院期間区分F2＿寛解・院内寛解[[#All],[行ラベル]],0),MATCH($AL$3,年齢階層×在院期間区分F2＿寛解・院内寛解[#Headers],0)),0)</f>
        <v>17</v>
      </c>
      <c r="D21" s="209">
        <f t="shared" si="7"/>
        <v>4.3701799485861184E-2</v>
      </c>
      <c r="E21" s="231">
        <f>IFERROR(INDEX(年齢階層×在院期間区分F2＿寛解・院内寛解[#All],MATCH($AH5,年齢階層×在院期間区分F2＿寛解・院内寛解[[#All],[行ラベル]],0),MATCH($AM$3,年齢階層×在院期間区分F2＿寛解・院内寛解[#Headers],0)),0)+IFERROR(INDEX(年齢階層×在院期間区分F2＿寛解・院内寛解[#All],MATCH($AH5,年齢階層×在院期間区分F2＿寛解・院内寛解[[#All],[行ラベル]],0),MATCH($AN$3,年齢階層×在院期間区分F2＿寛解・院内寛解[#Headers],0)),0)+IFERROR(INDEX(年齢階層×在院期間区分F2＿寛解・院内寛解[#All],MATCH($AH5,年齢階層×在院期間区分F2＿寛解・院内寛解[[#All],[行ラベル]],0),MATCH($AO$3,年齢階層×在院期間区分F2＿寛解・院内寛解[#Headers],0)),0)+IFERROR(INDEX(年齢階層×在院期間区分F2＿寛解・院内寛解[#All],MATCH($AH5,年齢階層×在院期間区分F2＿寛解・院内寛解[[#All],[行ラベル]],0),MATCH($AP$3,年齢階層×在院期間区分F2＿寛解・院内寛解[#Headers],0)),0)+IFERROR(INDEX(年齢階層×在院期間区分F2＿寛解・院内寛解[#All],MATCH($AH5,年齢階層×在院期間区分F2＿寛解・院内寛解[[#All],[行ラベル]],0),MATCH($AQ$3,年齢階層×在院期間区分F2＿寛解・院内寛解[#Headers],0)),0)</f>
        <v>0</v>
      </c>
      <c r="F21" s="209">
        <f t="shared" si="8"/>
        <v>0</v>
      </c>
      <c r="G21" s="208">
        <f>IFERROR(INDEX(年齢階層×在院期間区分F2＿寛解・院内寛解[#All],MATCH($AH5,年齢階層×在院期間区分F2＿寛解・院内寛解[[#All],[行ラベル]],0),MATCH($AR$3,年齢階層×在院期間区分F2＿寛解・院内寛解[#Headers],0)),0)+IFERROR(INDEX(年齢階層×在院期間区分F2＿寛解・院内寛解[#All],MATCH($AH5,年齢階層×在院期間区分F2＿寛解・院内寛解[[#All],[行ラベル]],0),MATCH($AS$3,年齢階層×在院期間区分F2＿寛解・院内寛解[#Headers],0)),0)+IFERROR(INDEX(年齢階層×在院期間区分F2＿寛解・院内寛解[#All],MATCH($AH5,年齢階層×在院期間区分F2＿寛解・院内寛解[[#All],[行ラベル]],0),MATCH($AT$3,年齢階層×在院期間区分F2＿寛解・院内寛解[#Headers],0)),0)+IFERROR(INDEX(年齢階層×在院期間区分F2＿寛解・院内寛解[#All],MATCH($AH5,年齢階層×在院期間区分F2＿寛解・院内寛解[[#All],[行ラベル]],0),MATCH($AU$3,年齢階層×在院期間区分F2＿寛解・院内寛解[#Headers],0)),0)+IFERROR(INDEX(年齢階層×在院期間区分F2＿寛解・院内寛解[#All],MATCH($AH5,年齢階層×在院期間区分F2＿寛解・院内寛解[[#All],[行ラベル]],0),MATCH($AV$3,年齢階層×在院期間区分F2＿寛解・院内寛解[#Headers],0)),0)</f>
        <v>0</v>
      </c>
      <c r="H21" s="209">
        <f t="shared" si="9"/>
        <v>0</v>
      </c>
      <c r="I21" s="231">
        <f>IFERROR(INDEX(年齢階層×在院期間区分F2＿寛解・院内寛解[#All],MATCH($AH5,年齢階層×在院期間区分F2＿寛解・院内寛解[[#All],[行ラベル]],0),MATCH($AW$3,年齢階層×在院期間区分F2＿寛解・院内寛解[#Headers],0)),0)+IFERROR(INDEX(年齢階層×在院期間区分F2＿寛解・院内寛解[#All],MATCH($AH5,年齢階層×在院期間区分F2＿寛解・院内寛解[[#All],[行ラベル]],0),MATCH($AX$3,年齢階層×在院期間区分F2＿寛解・院内寛解[#Headers],0)),0)</f>
        <v>0</v>
      </c>
      <c r="J21" s="209">
        <f t="shared" si="10"/>
        <v>0</v>
      </c>
      <c r="K21" s="208">
        <f t="shared" si="11"/>
        <v>17</v>
      </c>
      <c r="L21" s="209">
        <f t="shared" si="12"/>
        <v>2.4045261669024046E-2</v>
      </c>
      <c r="O21" s="54" t="s">
        <v>3</v>
      </c>
      <c r="P21" s="66">
        <v>9</v>
      </c>
      <c r="Q21" s="66">
        <v>6</v>
      </c>
      <c r="R21" s="66"/>
      <c r="S21" s="66">
        <v>2</v>
      </c>
      <c r="T21" s="66"/>
      <c r="U21" s="66"/>
      <c r="V21" s="66"/>
      <c r="W21" s="66"/>
      <c r="X21" s="66"/>
      <c r="Y21" s="66"/>
      <c r="Z21" s="66"/>
      <c r="AA21" s="66"/>
      <c r="AB21" s="66"/>
      <c r="AC21" s="66"/>
      <c r="AD21" s="66"/>
      <c r="AE21" s="66"/>
      <c r="AH21" s="54" t="s">
        <v>3</v>
      </c>
    </row>
    <row r="22" spans="2:38" s="22" customFormat="1" ht="18.75" customHeight="1" x14ac:dyDescent="0.15">
      <c r="B22" s="230" t="s">
        <v>4</v>
      </c>
      <c r="C22" s="208">
        <f>IFERROR(INDEX(年齢階層×在院期間区分F2＿寛解・院内寛解[#All],MATCH($AH6,年齢階層×在院期間区分F2＿寛解・院内寛解[[#All],[行ラベル]],0),MATCH($AI$3,年齢階層×在院期間区分F2＿寛解・院内寛解[#Headers],0)),0)+IFERROR(INDEX(年齢階層×在院期間区分F2＿寛解・院内寛解[#All],MATCH($AH6,年齢階層×在院期間区分F2＿寛解・院内寛解[[#All],[行ラベル]],0),MATCH($AJ$3,年齢階層×在院期間区分F2＿寛解・院内寛解[#Headers],0)),0)+IFERROR(INDEX(年齢階層×在院期間区分F2＿寛解・院内寛解[#All],MATCH($AH6,年齢階層×在院期間区分F2＿寛解・院内寛解[[#All],[行ラベル]],0),MATCH($AK$3,年齢階層×在院期間区分F2＿寛解・院内寛解[#Headers],0)),0)+IFERROR(INDEX(年齢階層×在院期間区分F2＿寛解・院内寛解[#All],MATCH($AH6,年齢階層×在院期間区分F2＿寛解・院内寛解[[#All],[行ラベル]],0),MATCH($AL$3,年齢階層×在院期間区分F2＿寛解・院内寛解[#Headers],0)),0)</f>
        <v>30</v>
      </c>
      <c r="D22" s="209">
        <f t="shared" si="7"/>
        <v>7.7120822622107968E-2</v>
      </c>
      <c r="E22" s="231">
        <f>IFERROR(INDEX(年齢階層×在院期間区分F2＿寛解・院内寛解[#All],MATCH($AH6,年齢階層×在院期間区分F2＿寛解・院内寛解[[#All],[行ラベル]],0),MATCH($AM$3,年齢階層×在院期間区分F2＿寛解・院内寛解[#Headers],0)),0)+IFERROR(INDEX(年齢階層×在院期間区分F2＿寛解・院内寛解[#All],MATCH($AH6,年齢階層×在院期間区分F2＿寛解・院内寛解[[#All],[行ラベル]],0),MATCH($AN$3,年齢階層×在院期間区分F2＿寛解・院内寛解[#Headers],0)),0)+IFERROR(INDEX(年齢階層×在院期間区分F2＿寛解・院内寛解[#All],MATCH($AH6,年齢階層×在院期間区分F2＿寛解・院内寛解[[#All],[行ラベル]],0),MATCH($AO$3,年齢階層×在院期間区分F2＿寛解・院内寛解[#Headers],0)),0)+IFERROR(INDEX(年齢階層×在院期間区分F2＿寛解・院内寛解[#All],MATCH($AH6,年齢階層×在院期間区分F2＿寛解・院内寛解[[#All],[行ラベル]],0),MATCH($AP$3,年齢階層×在院期間区分F2＿寛解・院内寛解[#Headers],0)),0)+IFERROR(INDEX(年齢階層×在院期間区分F2＿寛解・院内寛解[#All],MATCH($AH6,年齢階層×在院期間区分F2＿寛解・院内寛解[[#All],[行ラベル]],0),MATCH($AQ$3,年齢階層×在院期間区分F2＿寛解・院内寛解[#Headers],0)),0)</f>
        <v>4</v>
      </c>
      <c r="F22" s="209">
        <f t="shared" si="8"/>
        <v>2.5157232704402517E-2</v>
      </c>
      <c r="G22" s="232">
        <f>IFERROR(INDEX(年齢階層×在院期間区分F2＿寛解・院内寛解[#All],MATCH($AH6,年齢階層×在院期間区分F2＿寛解・院内寛解[[#All],[行ラベル]],0),MATCH($AR$3,年齢階層×在院期間区分F2＿寛解・院内寛解[#Headers],0)),0)+IFERROR(INDEX(年齢階層×在院期間区分F2＿寛解・院内寛解[#All],MATCH($AH6,年齢階層×在院期間区分F2＿寛解・院内寛解[[#All],[行ラベル]],0),MATCH($AS$3,年齢階層×在院期間区分F2＿寛解・院内寛解[#Headers],0)),0)+IFERROR(INDEX(年齢階層×在院期間区分F2＿寛解・院内寛解[#All],MATCH($AH6,年齢階層×在院期間区分F2＿寛解・院内寛解[[#All],[行ラベル]],0),MATCH($AT$3,年齢階層×在院期間区分F2＿寛解・院内寛解[#Headers],0)),0)+IFERROR(INDEX(年齢階層×在院期間区分F2＿寛解・院内寛解[#All],MATCH($AH6,年齢階層×在院期間区分F2＿寛解・院内寛解[[#All],[行ラベル]],0),MATCH($AU$3,年齢階層×在院期間区分F2＿寛解・院内寛解[#Headers],0)),0)+IFERROR(INDEX(年齢階層×在院期間区分F2＿寛解・院内寛解[#All],MATCH($AH6,年齢階層×在院期間区分F2＿寛解・院内寛解[[#All],[行ラベル]],0),MATCH($AV$3,年齢階層×在院期間区分F2＿寛解・院内寛解[#Headers],0)),0)</f>
        <v>2</v>
      </c>
      <c r="H22" s="209">
        <f t="shared" si="9"/>
        <v>2.6315789473684209E-2</v>
      </c>
      <c r="I22" s="208">
        <f>IFERROR(INDEX(年齢階層×在院期間区分F2＿寛解・院内寛解[#All],MATCH($AH6,年齢階層×在院期間区分F2＿寛解・院内寛解[[#All],[行ラベル]],0),MATCH($AW$3,年齢階層×在院期間区分F2＿寛解・院内寛解[#Headers],0)),0)+IFERROR(INDEX(年齢階層×在院期間区分F2＿寛解・院内寛解[#All],MATCH($AH6,年齢階層×在院期間区分F2＿寛解・院内寛解[[#All],[行ラベル]],0),MATCH($AX$3,年齢階層×在院期間区分F2＿寛解・院内寛解[#Headers],0)),0)</f>
        <v>1</v>
      </c>
      <c r="J22" s="209">
        <f t="shared" si="10"/>
        <v>1.2048192771084338E-2</v>
      </c>
      <c r="K22" s="208">
        <f t="shared" si="11"/>
        <v>37</v>
      </c>
      <c r="L22" s="209">
        <f t="shared" si="12"/>
        <v>5.2333804809052337E-2</v>
      </c>
      <c r="O22" s="54" t="s">
        <v>4</v>
      </c>
      <c r="P22" s="66">
        <v>15</v>
      </c>
      <c r="Q22" s="66">
        <v>5</v>
      </c>
      <c r="R22" s="66">
        <v>6</v>
      </c>
      <c r="S22" s="66">
        <v>4</v>
      </c>
      <c r="T22" s="66"/>
      <c r="U22" s="66">
        <v>2</v>
      </c>
      <c r="V22" s="66">
        <v>1</v>
      </c>
      <c r="W22" s="66">
        <v>1</v>
      </c>
      <c r="X22" s="66"/>
      <c r="Y22" s="66">
        <v>1</v>
      </c>
      <c r="Z22" s="66">
        <v>1</v>
      </c>
      <c r="AA22" s="66"/>
      <c r="AB22" s="66"/>
      <c r="AC22" s="66"/>
      <c r="AD22" s="66">
        <v>1</v>
      </c>
      <c r="AE22" s="66"/>
      <c r="AH22" s="54" t="s">
        <v>4</v>
      </c>
    </row>
    <row r="23" spans="2:38" s="22" customFormat="1" ht="18.75" customHeight="1" x14ac:dyDescent="0.15">
      <c r="B23" s="230" t="s">
        <v>5</v>
      </c>
      <c r="C23" s="208">
        <f>IFERROR(INDEX(年齢階層×在院期間区分F2＿寛解・院内寛解[#All],MATCH($AH7,年齢階層×在院期間区分F2＿寛解・院内寛解[[#All],[行ラベル]],0),MATCH($AI$3,年齢階層×在院期間区分F2＿寛解・院内寛解[#Headers],0)),0)+IFERROR(INDEX(年齢階層×在院期間区分F2＿寛解・院内寛解[#All],MATCH($AH7,年齢階層×在院期間区分F2＿寛解・院内寛解[[#All],[行ラベル]],0),MATCH($AJ$3,年齢階層×在院期間区分F2＿寛解・院内寛解[#Headers],0)),0)+IFERROR(INDEX(年齢階層×在院期間区分F2＿寛解・院内寛解[#All],MATCH($AH7,年齢階層×在院期間区分F2＿寛解・院内寛解[[#All],[行ラベル]],0),MATCH($AK$3,年齢階層×在院期間区分F2＿寛解・院内寛解[#Headers],0)),0)+IFERROR(INDEX(年齢階層×在院期間区分F2＿寛解・院内寛解[#All],MATCH($AH7,年齢階層×在院期間区分F2＿寛解・院内寛解[[#All],[行ラベル]],0),MATCH($AL$3,年齢階層×在院期間区分F2＿寛解・院内寛解[#Headers],0)),0)</f>
        <v>87</v>
      </c>
      <c r="D23" s="209">
        <f t="shared" si="7"/>
        <v>0.2236503856041131</v>
      </c>
      <c r="E23" s="208">
        <f>IFERROR(INDEX(年齢階層×在院期間区分F2＿寛解・院内寛解[#All],MATCH($AH7,年齢階層×在院期間区分F2＿寛解・院内寛解[[#All],[行ラベル]],0),MATCH($AM$3,年齢階層×在院期間区分F2＿寛解・院内寛解[#Headers],0)),0)+IFERROR(INDEX(年齢階層×在院期間区分F2＿寛解・院内寛解[#All],MATCH($AH7,年齢階層×在院期間区分F2＿寛解・院内寛解[[#All],[行ラベル]],0),MATCH($AN$3,年齢階層×在院期間区分F2＿寛解・院内寛解[#Headers],0)),0)+IFERROR(INDEX(年齢階層×在院期間区分F2＿寛解・院内寛解[#All],MATCH($AH7,年齢階層×在院期間区分F2＿寛解・院内寛解[[#All],[行ラベル]],0),MATCH($AO$3,年齢階層×在院期間区分F2＿寛解・院内寛解[#Headers],0)),0)+IFERROR(INDEX(年齢階層×在院期間区分F2＿寛解・院内寛解[#All],MATCH($AH7,年齢階層×在院期間区分F2＿寛解・院内寛解[[#All],[行ラベル]],0),MATCH($AP$3,年齢階層×在院期間区分F2＿寛解・院内寛解[#Headers],0)),0)+IFERROR(INDEX(年齢階層×在院期間区分F2＿寛解・院内寛解[#All],MATCH($AH7,年齢階層×在院期間区分F2＿寛解・院内寛解[[#All],[行ラベル]],0),MATCH($AQ$3,年齢階層×在院期間区分F2＿寛解・院内寛解[#Headers],0)),0)</f>
        <v>25</v>
      </c>
      <c r="F23" s="209">
        <f t="shared" si="8"/>
        <v>0.15723270440251572</v>
      </c>
      <c r="G23" s="208">
        <f>IFERROR(INDEX(年齢階層×在院期間区分F2＿寛解・院内寛解[#All],MATCH($AH7,年齢階層×在院期間区分F2＿寛解・院内寛解[[#All],[行ラベル]],0),MATCH($AR$3,年齢階層×在院期間区分F2＿寛解・院内寛解[#Headers],0)),0)+IFERROR(INDEX(年齢階層×在院期間区分F2＿寛解・院内寛解[#All],MATCH($AH7,年齢階層×在院期間区分F2＿寛解・院内寛解[[#All],[行ラベル]],0),MATCH($AS$3,年齢階層×在院期間区分F2＿寛解・院内寛解[#Headers],0)),0)+IFERROR(INDEX(年齢階層×在院期間区分F2＿寛解・院内寛解[#All],MATCH($AH7,年齢階層×在院期間区分F2＿寛解・院内寛解[[#All],[行ラベル]],0),MATCH($AT$3,年齢階層×在院期間区分F2＿寛解・院内寛解[#Headers],0)),0)+IFERROR(INDEX(年齢階層×在院期間区分F2＿寛解・院内寛解[#All],MATCH($AH7,年齢階層×在院期間区分F2＿寛解・院内寛解[[#All],[行ラベル]],0),MATCH($AU$3,年齢階層×在院期間区分F2＿寛解・院内寛解[#Headers],0)),0)+IFERROR(INDEX(年齢階層×在院期間区分F2＿寛解・院内寛解[#All],MATCH($AH7,年齢階層×在院期間区分F2＿寛解・院内寛解[[#All],[行ラベル]],0),MATCH($AV$3,年齢階層×在院期間区分F2＿寛解・院内寛解[#Headers],0)),0)</f>
        <v>9</v>
      </c>
      <c r="H23" s="209">
        <f t="shared" si="9"/>
        <v>0.11842105263157894</v>
      </c>
      <c r="I23" s="208">
        <f>IFERROR(INDEX(年齢階層×在院期間区分F2＿寛解・院内寛解[#All],MATCH($AH7,年齢階層×在院期間区分F2＿寛解・院内寛解[[#All],[行ラベル]],0),MATCH($AW$3,年齢階層×在院期間区分F2＿寛解・院内寛解[#Headers],0)),0)+IFERROR(INDEX(年齢階層×在院期間区分F2＿寛解・院内寛解[#All],MATCH($AH7,年齢階層×在院期間区分F2＿寛解・院内寛解[[#All],[行ラベル]],0),MATCH($AX$3,年齢階層×在院期間区分F2＿寛解・院内寛解[#Headers],0)),0)</f>
        <v>6</v>
      </c>
      <c r="J23" s="209">
        <f t="shared" si="10"/>
        <v>7.2289156626506021E-2</v>
      </c>
      <c r="K23" s="208">
        <f t="shared" si="11"/>
        <v>127</v>
      </c>
      <c r="L23" s="209">
        <f t="shared" si="12"/>
        <v>0.17963224893917965</v>
      </c>
      <c r="O23" s="54" t="s">
        <v>5</v>
      </c>
      <c r="P23" s="66">
        <v>29</v>
      </c>
      <c r="Q23" s="66">
        <v>32</v>
      </c>
      <c r="R23" s="66">
        <v>20</v>
      </c>
      <c r="S23" s="66">
        <v>6</v>
      </c>
      <c r="T23" s="66">
        <v>3</v>
      </c>
      <c r="U23" s="66">
        <v>2</v>
      </c>
      <c r="V23" s="66">
        <v>12</v>
      </c>
      <c r="W23" s="66">
        <v>3</v>
      </c>
      <c r="X23" s="66">
        <v>5</v>
      </c>
      <c r="Y23" s="66">
        <v>2</v>
      </c>
      <c r="Z23" s="66">
        <v>1</v>
      </c>
      <c r="AA23" s="66">
        <v>2</v>
      </c>
      <c r="AB23" s="66">
        <v>3</v>
      </c>
      <c r="AC23" s="66">
        <v>1</v>
      </c>
      <c r="AD23" s="66">
        <v>5</v>
      </c>
      <c r="AE23" s="66">
        <v>1</v>
      </c>
      <c r="AH23" s="54" t="s">
        <v>5</v>
      </c>
    </row>
    <row r="24" spans="2:38" s="22" customFormat="1" ht="18.75" customHeight="1" x14ac:dyDescent="0.15">
      <c r="B24" s="230" t="s">
        <v>6</v>
      </c>
      <c r="C24" s="232">
        <f>IFERROR(INDEX(年齢階層×在院期間区分F2＿寛解・院内寛解[#All],MATCH($AH8,年齢階層×在院期間区分F2＿寛解・院内寛解[[#All],[行ラベル]],0),MATCH($AI$3,年齢階層×在院期間区分F2＿寛解・院内寛解[#Headers],0)),0)+IFERROR(INDEX(年齢階層×在院期間区分F2＿寛解・院内寛解[#All],MATCH($AH8,年齢階層×在院期間区分F2＿寛解・院内寛解[[#All],[行ラベル]],0),MATCH($AJ$3,年齢階層×在院期間区分F2＿寛解・院内寛解[#Headers],0)),0)+IFERROR(INDEX(年齢階層×在院期間区分F2＿寛解・院内寛解[#All],MATCH($AH8,年齢階層×在院期間区分F2＿寛解・院内寛解[[#All],[行ラベル]],0),MATCH($AK$3,年齢階層×在院期間区分F2＿寛解・院内寛解[#Headers],0)),0)+IFERROR(INDEX(年齢階層×在院期間区分F2＿寛解・院内寛解[#All],MATCH($AH8,年齢階層×在院期間区分F2＿寛解・院内寛解[[#All],[行ラベル]],0),MATCH($AL$3,年齢階層×在院期間区分F2＿寛解・院内寛解[#Headers],0)),0)</f>
        <v>102</v>
      </c>
      <c r="D24" s="209">
        <f t="shared" si="7"/>
        <v>0.26221079691516708</v>
      </c>
      <c r="E24" s="208">
        <f>IFERROR(INDEX(年齢階層×在院期間区分F2＿寛解・院内寛解[#All],MATCH($AH8,年齢階層×在院期間区分F2＿寛解・院内寛解[[#All],[行ラベル]],0),MATCH($AM$3,年齢階層×在院期間区分F2＿寛解・院内寛解[#Headers],0)),0)+IFERROR(INDEX(年齢階層×在院期間区分F2＿寛解・院内寛解[#All],MATCH($AH8,年齢階層×在院期間区分F2＿寛解・院内寛解[[#All],[行ラベル]],0),MATCH($AN$3,年齢階層×在院期間区分F2＿寛解・院内寛解[#Headers],0)),0)+IFERROR(INDEX(年齢階層×在院期間区分F2＿寛解・院内寛解[#All],MATCH($AH8,年齢階層×在院期間区分F2＿寛解・院内寛解[[#All],[行ラベル]],0),MATCH($AO$3,年齢階層×在院期間区分F2＿寛解・院内寛解[#Headers],0)),0)+IFERROR(INDEX(年齢階層×在院期間区分F2＿寛解・院内寛解[#All],MATCH($AH8,年齢階層×在院期間区分F2＿寛解・院内寛解[[#All],[行ラベル]],0),MATCH($AP$3,年齢階層×在院期間区分F2＿寛解・院内寛解[#Headers],0)),0)+IFERROR(INDEX(年齢階層×在院期間区分F2＿寛解・院内寛解[#All],MATCH($AH8,年齢階層×在院期間区分F2＿寛解・院内寛解[[#All],[行ラベル]],0),MATCH($AQ$3,年齢階層×在院期間区分F2＿寛解・院内寛解[#Headers],0)),0)</f>
        <v>38</v>
      </c>
      <c r="F24" s="209">
        <f t="shared" si="8"/>
        <v>0.2389937106918239</v>
      </c>
      <c r="G24" s="232">
        <f>IFERROR(INDEX(年齢階層×在院期間区分F2＿寛解・院内寛解[#All],MATCH($AH8,年齢階層×在院期間区分F2＿寛解・院内寛解[[#All],[行ラベル]],0),MATCH($AR$3,年齢階層×在院期間区分F2＿寛解・院内寛解[#Headers],0)),0)+IFERROR(INDEX(年齢階層×在院期間区分F2＿寛解・院内寛解[#All],MATCH($AH8,年齢階層×在院期間区分F2＿寛解・院内寛解[[#All],[行ラベル]],0),MATCH($AS$3,年齢階層×在院期間区分F2＿寛解・院内寛解[#Headers],0)),0)+IFERROR(INDEX(年齢階層×在院期間区分F2＿寛解・院内寛解[#All],MATCH($AH8,年齢階層×在院期間区分F2＿寛解・院内寛解[[#All],[行ラベル]],0),MATCH($AT$3,年齢階層×在院期間区分F2＿寛解・院内寛解[#Headers],0)),0)+IFERROR(INDEX(年齢階層×在院期間区分F2＿寛解・院内寛解[#All],MATCH($AH8,年齢階層×在院期間区分F2＿寛解・院内寛解[[#All],[行ラベル]],0),MATCH($AU$3,年齢階層×在院期間区分F2＿寛解・院内寛解[#Headers],0)),0)+IFERROR(INDEX(年齢階層×在院期間区分F2＿寛解・院内寛解[#All],MATCH($AH8,年齢階層×在院期間区分F2＿寛解・院内寛解[[#All],[行ラベル]],0),MATCH($AV$3,年齢階層×在院期間区分F2＿寛解・院内寛解[#Headers],0)),0)</f>
        <v>14</v>
      </c>
      <c r="H24" s="209">
        <f t="shared" si="9"/>
        <v>0.18421052631578946</v>
      </c>
      <c r="I24" s="208">
        <f>IFERROR(INDEX(年齢階層×在院期間区分F2＿寛解・院内寛解[#All],MATCH($AH8,年齢階層×在院期間区分F2＿寛解・院内寛解[[#All],[行ラベル]],0),MATCH($AW$3,年齢階層×在院期間区分F2＿寛解・院内寛解[#Headers],0)),0)+IFERROR(INDEX(年齢階層×在院期間区分F2＿寛解・院内寛解[#All],MATCH($AH8,年齢階層×在院期間区分F2＿寛解・院内寛解[[#All],[行ラベル]],0),MATCH($AX$3,年齢階層×在院期間区分F2＿寛解・院内寛解[#Headers],0)),0)</f>
        <v>13</v>
      </c>
      <c r="J24" s="209">
        <f t="shared" si="10"/>
        <v>0.15662650602409639</v>
      </c>
      <c r="K24" s="208">
        <f t="shared" si="11"/>
        <v>167</v>
      </c>
      <c r="L24" s="209">
        <f t="shared" si="12"/>
        <v>0.23620933521923621</v>
      </c>
      <c r="O24" s="54" t="s">
        <v>6</v>
      </c>
      <c r="P24" s="66">
        <v>45</v>
      </c>
      <c r="Q24" s="66">
        <v>31</v>
      </c>
      <c r="R24" s="66">
        <v>16</v>
      </c>
      <c r="S24" s="66">
        <v>10</v>
      </c>
      <c r="T24" s="66">
        <v>9</v>
      </c>
      <c r="U24" s="66">
        <v>6</v>
      </c>
      <c r="V24" s="66">
        <v>15</v>
      </c>
      <c r="W24" s="66">
        <v>3</v>
      </c>
      <c r="X24" s="66">
        <v>5</v>
      </c>
      <c r="Y24" s="66">
        <v>3</v>
      </c>
      <c r="Z24" s="66">
        <v>1</v>
      </c>
      <c r="AA24" s="66">
        <v>4</v>
      </c>
      <c r="AB24" s="66">
        <v>2</v>
      </c>
      <c r="AC24" s="66">
        <v>4</v>
      </c>
      <c r="AD24" s="66">
        <v>12</v>
      </c>
      <c r="AE24" s="66">
        <v>1</v>
      </c>
      <c r="AH24" s="54" t="s">
        <v>6</v>
      </c>
    </row>
    <row r="25" spans="2:38" s="22" customFormat="1" ht="18.75" customHeight="1" x14ac:dyDescent="0.15">
      <c r="B25" s="230" t="s">
        <v>7</v>
      </c>
      <c r="C25" s="231">
        <f>IFERROR(INDEX(年齢階層×在院期間区分F2＿寛解・院内寛解[#All],MATCH($AH9,年齢階層×在院期間区分F2＿寛解・院内寛解[[#All],[行ラベル]],0),MATCH($AI$3,年齢階層×在院期間区分F2＿寛解・院内寛解[#Headers],0)),0)+IFERROR(INDEX(年齢階層×在院期間区分F2＿寛解・院内寛解[#All],MATCH($AH9,年齢階層×在院期間区分F2＿寛解・院内寛解[[#All],[行ラベル]],0),MATCH($AJ$3,年齢階層×在院期間区分F2＿寛解・院内寛解[#Headers],0)),0)+IFERROR(INDEX(年齢階層×在院期間区分F2＿寛解・院内寛解[#All],MATCH($AH9,年齢階層×在院期間区分F2＿寛解・院内寛解[[#All],[行ラベル]],0),MATCH($AK$3,年齢階層×在院期間区分F2＿寛解・院内寛解[#Headers],0)),0)+IFERROR(INDEX(年齢階層×在院期間区分F2＿寛解・院内寛解[#All],MATCH($AH9,年齢階層×在院期間区分F2＿寛解・院内寛解[[#All],[行ラベル]],0),MATCH($AL$3,年齢階層×在院期間区分F2＿寛解・院内寛解[#Headers],0)),0)</f>
        <v>61</v>
      </c>
      <c r="D25" s="209">
        <f t="shared" si="7"/>
        <v>0.15681233933161953</v>
      </c>
      <c r="E25" s="208">
        <f>IFERROR(INDEX(年齢階層×在院期間区分F2＿寛解・院内寛解[#All],MATCH($AH9,年齢階層×在院期間区分F2＿寛解・院内寛解[[#All],[行ラベル]],0),MATCH($AM$3,年齢階層×在院期間区分F2＿寛解・院内寛解[#Headers],0)),0)+IFERROR(INDEX(年齢階層×在院期間区分F2＿寛解・院内寛解[#All],MATCH($AH9,年齢階層×在院期間区分F2＿寛解・院内寛解[[#All],[行ラベル]],0),MATCH($AN$3,年齢階層×在院期間区分F2＿寛解・院内寛解[#Headers],0)),0)+IFERROR(INDEX(年齢階層×在院期間区分F2＿寛解・院内寛解[#All],MATCH($AH9,年齢階層×在院期間区分F2＿寛解・院内寛解[[#All],[行ラベル]],0),MATCH($AO$3,年齢階層×在院期間区分F2＿寛解・院内寛解[#Headers],0)),0)+IFERROR(INDEX(年齢階層×在院期間区分F2＿寛解・院内寛解[#All],MATCH($AH9,年齢階層×在院期間区分F2＿寛解・院内寛解[[#All],[行ラベル]],0),MATCH($AP$3,年齢階層×在院期間区分F2＿寛解・院内寛解[#Headers],0)),0)+IFERROR(INDEX(年齢階層×在院期間区分F2＿寛解・院内寛解[#All],MATCH($AH9,年齢階層×在院期間区分F2＿寛解・院内寛解[[#All],[行ラベル]],0),MATCH($AQ$3,年齢階層×在院期間区分F2＿寛解・院内寛解[#Headers],0)),0)</f>
        <v>38</v>
      </c>
      <c r="F25" s="209">
        <f t="shared" si="8"/>
        <v>0.2389937106918239</v>
      </c>
      <c r="G25" s="231">
        <f>IFERROR(INDEX(年齢階層×在院期間区分F2＿寛解・院内寛解[#All],MATCH($AH9,年齢階層×在院期間区分F2＿寛解・院内寛解[[#All],[行ラベル]],0),MATCH($AR$3,年齢階層×在院期間区分F2＿寛解・院内寛解[#Headers],0)),0)+IFERROR(INDEX(年齢階層×在院期間区分F2＿寛解・院内寛解[#All],MATCH($AH9,年齢階層×在院期間区分F2＿寛解・院内寛解[[#All],[行ラベル]],0),MATCH($AS$3,年齢階層×在院期間区分F2＿寛解・院内寛解[#Headers],0)),0)+IFERROR(INDEX(年齢階層×在院期間区分F2＿寛解・院内寛解[#All],MATCH($AH9,年齢階層×在院期間区分F2＿寛解・院内寛解[[#All],[行ラベル]],0),MATCH($AT$3,年齢階層×在院期間区分F2＿寛解・院内寛解[#Headers],0)),0)+IFERROR(INDEX(年齢階層×在院期間区分F2＿寛解・院内寛解[#All],MATCH($AH9,年齢階層×在院期間区分F2＿寛解・院内寛解[[#All],[行ラベル]],0),MATCH($AU$3,年齢階層×在院期間区分F2＿寛解・院内寛解[#Headers],0)),0)+IFERROR(INDEX(年齢階層×在院期間区分F2＿寛解・院内寛解[#All],MATCH($AH9,年齢階層×在院期間区分F2＿寛解・院内寛解[[#All],[行ラベル]],0),MATCH($AV$3,年齢階層×在院期間区分F2＿寛解・院内寛解[#Headers],0)),0)</f>
        <v>23</v>
      </c>
      <c r="H25" s="209">
        <f t="shared" si="9"/>
        <v>0.30263157894736842</v>
      </c>
      <c r="I25" s="208">
        <f>IFERROR(INDEX(年齢階層×在院期間区分F2＿寛解・院内寛解[#All],MATCH($AH9,年齢階層×在院期間区分F2＿寛解・院内寛解[[#All],[行ラベル]],0),MATCH($AW$3,年齢階層×在院期間区分F2＿寛解・院内寛解[#Headers],0)),0)+IFERROR(INDEX(年齢階層×在院期間区分F2＿寛解・院内寛解[#All],MATCH($AH9,年齢階層×在院期間区分F2＿寛解・院内寛解[[#All],[行ラベル]],0),MATCH($AX$3,年齢階層×在院期間区分F2＿寛解・院内寛解[#Headers],0)),0)</f>
        <v>23</v>
      </c>
      <c r="J25" s="209">
        <f t="shared" si="10"/>
        <v>0.27710843373493976</v>
      </c>
      <c r="K25" s="208">
        <f t="shared" si="11"/>
        <v>145</v>
      </c>
      <c r="L25" s="209">
        <f t="shared" si="12"/>
        <v>0.2050919377652051</v>
      </c>
      <c r="O25" s="54" t="s">
        <v>7</v>
      </c>
      <c r="P25" s="66">
        <v>20</v>
      </c>
      <c r="Q25" s="66">
        <v>16</v>
      </c>
      <c r="R25" s="66">
        <v>12</v>
      </c>
      <c r="S25" s="66">
        <v>13</v>
      </c>
      <c r="T25" s="66">
        <v>6</v>
      </c>
      <c r="U25" s="66">
        <v>5</v>
      </c>
      <c r="V25" s="66">
        <v>12</v>
      </c>
      <c r="W25" s="66">
        <v>12</v>
      </c>
      <c r="X25" s="66">
        <v>3</v>
      </c>
      <c r="Y25" s="66">
        <v>6</v>
      </c>
      <c r="Z25" s="66">
        <v>2</v>
      </c>
      <c r="AA25" s="66">
        <v>5</v>
      </c>
      <c r="AB25" s="66">
        <v>2</v>
      </c>
      <c r="AC25" s="66">
        <v>8</v>
      </c>
      <c r="AD25" s="66">
        <v>14</v>
      </c>
      <c r="AE25" s="66">
        <v>9</v>
      </c>
      <c r="AH25" s="54" t="s">
        <v>7</v>
      </c>
    </row>
    <row r="26" spans="2:38" s="22" customFormat="1" ht="18.75" customHeight="1" x14ac:dyDescent="0.15">
      <c r="B26" s="230" t="s">
        <v>8</v>
      </c>
      <c r="C26" s="208">
        <f>IFERROR(INDEX(年齢階層×在院期間区分F2＿寛解・院内寛解[#All],MATCH($AH10,年齢階層×在院期間区分F2＿寛解・院内寛解[[#All],[行ラベル]],0),MATCH($AI$3,年齢階層×在院期間区分F2＿寛解・院内寛解[#Headers],0)),0)+IFERROR(INDEX(年齢階層×在院期間区分F2＿寛解・院内寛解[#All],MATCH($AH10,年齢階層×在院期間区分F2＿寛解・院内寛解[[#All],[行ラベル]],0),MATCH($AJ$3,年齢階層×在院期間区分F2＿寛解・院内寛解[#Headers],0)),0)+IFERROR(INDEX(年齢階層×在院期間区分F2＿寛解・院内寛解[#All],MATCH($AH10,年齢階層×在院期間区分F2＿寛解・院内寛解[[#All],[行ラベル]],0),MATCH($AK$3,年齢階層×在院期間区分F2＿寛解・院内寛解[#Headers],0)),0)+IFERROR(INDEX(年齢階層×在院期間区分F2＿寛解・院内寛解[#All],MATCH($AH10,年齢階層×在院期間区分F2＿寛解・院内寛解[[#All],[行ラベル]],0),MATCH($AL$3,年齢階層×在院期間区分F2＿寛解・院内寛解[#Headers],0)),0)</f>
        <v>58</v>
      </c>
      <c r="D26" s="209">
        <f t="shared" si="7"/>
        <v>0.14910025706940874</v>
      </c>
      <c r="E26" s="208">
        <f>IFERROR(INDEX(年齢階層×在院期間区分F2＿寛解・院内寛解[#All],MATCH($AH10,年齢階層×在院期間区分F2＿寛解・院内寛解[[#All],[行ラベル]],0),MATCH($AM$3,年齢階層×在院期間区分F2＿寛解・院内寛解[#Headers],0)),0)+IFERROR(INDEX(年齢階層×在院期間区分F2＿寛解・院内寛解[#All],MATCH($AH10,年齢階層×在院期間区分F2＿寛解・院内寛解[[#All],[行ラベル]],0),MATCH($AN$3,年齢階層×在院期間区分F2＿寛解・院内寛解[#Headers],0)),0)+IFERROR(INDEX(年齢階層×在院期間区分F2＿寛解・院内寛解[#All],MATCH($AH10,年齢階層×在院期間区分F2＿寛解・院内寛解[[#All],[行ラベル]],0),MATCH($AO$3,年齢階層×在院期間区分F2＿寛解・院内寛解[#Headers],0)),0)+IFERROR(INDEX(年齢階層×在院期間区分F2＿寛解・院内寛解[#All],MATCH($AH10,年齢階層×在院期間区分F2＿寛解・院内寛解[[#All],[行ラベル]],0),MATCH($AP$3,年齢階層×在院期間区分F2＿寛解・院内寛解[#Headers],0)),0)+IFERROR(INDEX(年齢階層×在院期間区分F2＿寛解・院内寛解[#All],MATCH($AH10,年齢階層×在院期間区分F2＿寛解・院内寛解[[#All],[行ラベル]],0),MATCH($AQ$3,年齢階層×在院期間区分F2＿寛解・院内寛解[#Headers],0)),0)</f>
        <v>44</v>
      </c>
      <c r="F26" s="209">
        <f t="shared" si="8"/>
        <v>0.27672955974842767</v>
      </c>
      <c r="G26" s="231">
        <f>IFERROR(INDEX(年齢階層×在院期間区分F2＿寛解・院内寛解[#All],MATCH($AH10,年齢階層×在院期間区分F2＿寛解・院内寛解[[#All],[行ラベル]],0),MATCH($AR$3,年齢階層×在院期間区分F2＿寛解・院内寛解[#Headers],0)),0)+IFERROR(INDEX(年齢階層×在院期間区分F2＿寛解・院内寛解[#All],MATCH($AH10,年齢階層×在院期間区分F2＿寛解・院内寛解[[#All],[行ラベル]],0),MATCH($AS$3,年齢階層×在院期間区分F2＿寛解・院内寛解[#Headers],0)),0)+IFERROR(INDEX(年齢階層×在院期間区分F2＿寛解・院内寛解[#All],MATCH($AH10,年齢階層×在院期間区分F2＿寛解・院内寛解[[#All],[行ラベル]],0),MATCH($AT$3,年齢階層×在院期間区分F2＿寛解・院内寛解[#Headers],0)),0)+IFERROR(INDEX(年齢階層×在院期間区分F2＿寛解・院内寛解[#All],MATCH($AH10,年齢階層×在院期間区分F2＿寛解・院内寛解[[#All],[行ラベル]],0),MATCH($AU$3,年齢階層×在院期間区分F2＿寛解・院内寛解[#Headers],0)),0)+IFERROR(INDEX(年齢階層×在院期間区分F2＿寛解・院内寛解[#All],MATCH($AH10,年齢階層×在院期間区分F2＿寛解・院内寛解[[#All],[行ラベル]],0),MATCH($AV$3,年齢階層×在院期間区分F2＿寛解・院内寛解[#Headers],0)),0)</f>
        <v>20</v>
      </c>
      <c r="H26" s="209">
        <f t="shared" si="9"/>
        <v>0.26315789473684209</v>
      </c>
      <c r="I26" s="208">
        <f>IFERROR(INDEX(年齢階層×在院期間区分F2＿寛解・院内寛解[#All],MATCH($AH10,年齢階層×在院期間区分F2＿寛解・院内寛解[[#All],[行ラベル]],0),MATCH($AW$3,年齢階層×在院期間区分F2＿寛解・院内寛解[#Headers],0)),0)+IFERROR(INDEX(年齢階層×在院期間区分F2＿寛解・院内寛解[#All],MATCH($AH10,年齢階層×在院期間区分F2＿寛解・院内寛解[[#All],[行ラベル]],0),MATCH($AX$3,年齢階層×在院期間区分F2＿寛解・院内寛解[#Headers],0)),0)</f>
        <v>33</v>
      </c>
      <c r="J26" s="209">
        <f t="shared" si="10"/>
        <v>0.39759036144578314</v>
      </c>
      <c r="K26" s="208">
        <f t="shared" si="11"/>
        <v>155</v>
      </c>
      <c r="L26" s="209">
        <f t="shared" si="12"/>
        <v>0.21923620933521923</v>
      </c>
      <c r="O26" s="54" t="s">
        <v>8</v>
      </c>
      <c r="P26" s="66">
        <v>29</v>
      </c>
      <c r="Q26" s="66">
        <v>10</v>
      </c>
      <c r="R26" s="66">
        <v>6</v>
      </c>
      <c r="S26" s="66">
        <v>13</v>
      </c>
      <c r="T26" s="66">
        <v>6</v>
      </c>
      <c r="U26" s="66">
        <v>9</v>
      </c>
      <c r="V26" s="66">
        <v>15</v>
      </c>
      <c r="W26" s="66">
        <v>12</v>
      </c>
      <c r="X26" s="66">
        <v>2</v>
      </c>
      <c r="Y26" s="66">
        <v>2</v>
      </c>
      <c r="Z26" s="66">
        <v>8</v>
      </c>
      <c r="AA26" s="66">
        <v>2</v>
      </c>
      <c r="AB26" s="66">
        <v>2</v>
      </c>
      <c r="AC26" s="66">
        <v>6</v>
      </c>
      <c r="AD26" s="66">
        <v>18</v>
      </c>
      <c r="AE26" s="66">
        <v>15</v>
      </c>
      <c r="AH26" s="54" t="s">
        <v>8</v>
      </c>
    </row>
    <row r="27" spans="2:38" s="22" customFormat="1" ht="18.75" customHeight="1" x14ac:dyDescent="0.15">
      <c r="B27" s="230" t="s">
        <v>9</v>
      </c>
      <c r="C27" s="232">
        <f>IFERROR(INDEX(年齢階層×在院期間区分F2＿寛解・院内寛解[#All],MATCH($AH11,年齢階層×在院期間区分F2＿寛解・院内寛解[[#All],[行ラベル]],0),MATCH($AI$3,年齢階層×在院期間区分F2＿寛解・院内寛解[#Headers],0)),0)+IFERROR(INDEX(年齢階層×在院期間区分F2＿寛解・院内寛解[#All],MATCH($AH11,年齢階層×在院期間区分F2＿寛解・院内寛解[[#All],[行ラベル]],0),MATCH($AJ$3,年齢階層×在院期間区分F2＿寛解・院内寛解[#Headers],0)),0)+IFERROR(INDEX(年齢階層×在院期間区分F2＿寛解・院内寛解[#All],MATCH($AH11,年齢階層×在院期間区分F2＿寛解・院内寛解[[#All],[行ラベル]],0),MATCH($AK$3,年齢階層×在院期間区分F2＿寛解・院内寛解[#Headers],0)),0)+IFERROR(INDEX(年齢階層×在院期間区分F2＿寛解・院内寛解[#All],MATCH($AH11,年齢階層×在院期間区分F2＿寛解・院内寛解[[#All],[行ラベル]],0),MATCH($AL$3,年齢階層×在院期間区分F2＿寛解・院内寛解[#Headers],0)),0)</f>
        <v>27</v>
      </c>
      <c r="D27" s="209">
        <f t="shared" si="7"/>
        <v>6.9408740359897178E-2</v>
      </c>
      <c r="E27" s="232">
        <f>IFERROR(INDEX(年齢階層×在院期間区分F2＿寛解・院内寛解[#All],MATCH($AH11,年齢階層×在院期間区分F2＿寛解・院内寛解[[#All],[行ラベル]],0),MATCH($AM$3,年齢階層×在院期間区分F2＿寛解・院内寛解[#Headers],0)),0)+IFERROR(INDEX(年齢階層×在院期間区分F2＿寛解・院内寛解[#All],MATCH($AH11,年齢階層×在院期間区分F2＿寛解・院内寛解[[#All],[行ラベル]],0),MATCH($AN$3,年齢階層×在院期間区分F2＿寛解・院内寛解[#Headers],0)),0)+IFERROR(INDEX(年齢階層×在院期間区分F2＿寛解・院内寛解[#All],MATCH($AH11,年齢階層×在院期間区分F2＿寛解・院内寛解[[#All],[行ラベル]],0),MATCH($AO$3,年齢階層×在院期間区分F2＿寛解・院内寛解[#Headers],0)),0)+IFERROR(INDEX(年齢階層×在院期間区分F2＿寛解・院内寛解[#All],MATCH($AH11,年齢階層×在院期間区分F2＿寛解・院内寛解[[#All],[行ラベル]],0),MATCH($AP$3,年齢階層×在院期間区分F2＿寛解・院内寛解[#Headers],0)),0)+IFERROR(INDEX(年齢階層×在院期間区分F2＿寛解・院内寛解[#All],MATCH($AH11,年齢階層×在院期間区分F2＿寛解・院内寛解[[#All],[行ラベル]],0),MATCH($AQ$3,年齢階層×在院期間区分F2＿寛解・院内寛解[#Headers],0)),0)</f>
        <v>10</v>
      </c>
      <c r="F27" s="209">
        <f t="shared" si="8"/>
        <v>6.2893081761006289E-2</v>
      </c>
      <c r="G27" s="208">
        <f>IFERROR(INDEX(年齢階層×在院期間区分F2＿寛解・院内寛解[#All],MATCH($AH11,年齢階層×在院期間区分F2＿寛解・院内寛解[[#All],[行ラベル]],0),MATCH($AR$3,年齢階層×在院期間区分F2＿寛解・院内寛解[#Headers],0)),0)+IFERROR(INDEX(年齢階層×在院期間区分F2＿寛解・院内寛解[#All],MATCH($AH11,年齢階層×在院期間区分F2＿寛解・院内寛解[[#All],[行ラベル]],0),MATCH($AS$3,年齢階層×在院期間区分F2＿寛解・院内寛解[#Headers],0)),0)+IFERROR(INDEX(年齢階層×在院期間区分F2＿寛解・院内寛解[#All],MATCH($AH11,年齢階層×在院期間区分F2＿寛解・院内寛解[[#All],[行ラベル]],0),MATCH($AT$3,年齢階層×在院期間区分F2＿寛解・院内寛解[#Headers],0)),0)+IFERROR(INDEX(年齢階層×在院期間区分F2＿寛解・院内寛解[#All],MATCH($AH11,年齢階層×在院期間区分F2＿寛解・院内寛解[[#All],[行ラベル]],0),MATCH($AU$3,年齢階層×在院期間区分F2＿寛解・院内寛解[#Headers],0)),0)+IFERROR(INDEX(年齢階層×在院期間区分F2＿寛解・院内寛解[#All],MATCH($AH11,年齢階層×在院期間区分F2＿寛解・院内寛解[[#All],[行ラベル]],0),MATCH($AV$3,年齢階層×在院期間区分F2＿寛解・院内寛解[#Headers],0)),0)</f>
        <v>7</v>
      </c>
      <c r="H27" s="209">
        <f t="shared" si="9"/>
        <v>9.2105263157894732E-2</v>
      </c>
      <c r="I27" s="208">
        <f>IFERROR(INDEX(年齢階層×在院期間区分F2＿寛解・院内寛解[#All],MATCH($AH11,年齢階層×在院期間区分F2＿寛解・院内寛解[[#All],[行ラベル]],0),MATCH($AW$3,年齢階層×在院期間区分F2＿寛解・院内寛解[#Headers],0)),0)+IFERROR(INDEX(年齢階層×在院期間区分F2＿寛解・院内寛解[#All],MATCH($AH11,年齢階層×在院期間区分F2＿寛解・院内寛解[[#All],[行ラベル]],0),MATCH($AX$3,年齢階層×在院期間区分F2＿寛解・院内寛解[#Headers],0)),0)</f>
        <v>6</v>
      </c>
      <c r="J27" s="209">
        <f t="shared" si="10"/>
        <v>7.2289156626506021E-2</v>
      </c>
      <c r="K27" s="208">
        <f t="shared" si="11"/>
        <v>50</v>
      </c>
      <c r="L27" s="209">
        <f t="shared" si="12"/>
        <v>7.0721357850070721E-2</v>
      </c>
      <c r="O27" s="54" t="s">
        <v>9</v>
      </c>
      <c r="P27" s="66">
        <v>11</v>
      </c>
      <c r="Q27" s="66">
        <v>7</v>
      </c>
      <c r="R27" s="66">
        <v>3</v>
      </c>
      <c r="S27" s="66">
        <v>6</v>
      </c>
      <c r="T27" s="66"/>
      <c r="U27" s="66">
        <v>2</v>
      </c>
      <c r="V27" s="66">
        <v>4</v>
      </c>
      <c r="W27" s="66">
        <v>4</v>
      </c>
      <c r="X27" s="66"/>
      <c r="Y27" s="66">
        <v>2</v>
      </c>
      <c r="Z27" s="66">
        <v>3</v>
      </c>
      <c r="AA27" s="66">
        <v>1</v>
      </c>
      <c r="AB27" s="66">
        <v>1</v>
      </c>
      <c r="AC27" s="66"/>
      <c r="AD27" s="66">
        <v>2</v>
      </c>
      <c r="AE27" s="66">
        <v>4</v>
      </c>
      <c r="AH27" s="54" t="s">
        <v>9</v>
      </c>
    </row>
    <row r="28" spans="2:38" s="22" customFormat="1" ht="18.75" customHeight="1" thickBot="1" x14ac:dyDescent="0.2">
      <c r="B28" s="233" t="s">
        <v>10</v>
      </c>
      <c r="C28" s="211">
        <f>IFERROR(INDEX(年齢階層×在院期間区分F2＿寛解・院内寛解[#All],MATCH($AH12,年齢階層×在院期間区分F2＿寛解・院内寛解[[#All],[行ラベル]],0),MATCH($AI$3,年齢階層×在院期間区分F2＿寛解・院内寛解[#Headers],0)),0)+IFERROR(INDEX(年齢階層×在院期間区分F2＿寛解・院内寛解[#All],MATCH($AH12,年齢階層×在院期間区分F2＿寛解・院内寛解[[#All],[行ラベル]],0),MATCH($AJ$3,年齢階層×在院期間区分F2＿寛解・院内寛解[#Headers],0)),0)+IFERROR(INDEX(年齢階層×在院期間区分F2＿寛解・院内寛解[#All],MATCH($AH12,年齢階層×在院期間区分F2＿寛解・院内寛解[[#All],[行ラベル]],0),MATCH($AK$3,年齢階層×在院期間区分F2＿寛解・院内寛解[#Headers],0)),0)+IFERROR(INDEX(年齢階層×在院期間区分F2＿寛解・院内寛解[#All],MATCH($AH12,年齢階層×在院期間区分F2＿寛解・院内寛解[[#All],[行ラベル]],0),MATCH($AL$3,年齢階層×在院期間区分F2＿寛解・院内寛解[#Headers],0)),0)</f>
        <v>3</v>
      </c>
      <c r="D28" s="213">
        <f t="shared" si="7"/>
        <v>7.7120822622107968E-3</v>
      </c>
      <c r="E28" s="211">
        <f>IFERROR(INDEX(年齢階層×在院期間区分F2＿寛解・院内寛解[#All],MATCH($AH12,年齢階層×在院期間区分F2＿寛解・院内寛解[[#All],[行ラベル]],0),MATCH($AM$3,年齢階層×在院期間区分F2＿寛解・院内寛解[#Headers],0)),0)+IFERROR(INDEX(年齢階層×在院期間区分F2＿寛解・院内寛解[#All],MATCH($AH12,年齢階層×在院期間区分F2＿寛解・院内寛解[[#All],[行ラベル]],0),MATCH($AN$3,年齢階層×在院期間区分F2＿寛解・院内寛解[#Headers],0)),0)+IFERROR(INDEX(年齢階層×在院期間区分F2＿寛解・院内寛解[#All],MATCH($AH12,年齢階層×在院期間区分F2＿寛解・院内寛解[[#All],[行ラベル]],0),MATCH($AO$3,年齢階層×在院期間区分F2＿寛解・院内寛解[#Headers],0)),0)+IFERROR(INDEX(年齢階層×在院期間区分F2＿寛解・院内寛解[#All],MATCH($AH12,年齢階層×在院期間区分F2＿寛解・院内寛解[[#All],[行ラベル]],0),MATCH($AP$3,年齢階層×在院期間区分F2＿寛解・院内寛解[#Headers],0)),0)+IFERROR(INDEX(年齢階層×在院期間区分F2＿寛解・院内寛解[#All],MATCH($AH12,年齢階層×在院期間区分F2＿寛解・院内寛解[[#All],[行ラベル]],0),MATCH($AQ$3,年齢階層×在院期間区分F2＿寛解・院内寛解[#Headers],0)),0)</f>
        <v>0</v>
      </c>
      <c r="F28" s="213">
        <f t="shared" si="8"/>
        <v>0</v>
      </c>
      <c r="G28" s="234">
        <f>IFERROR(INDEX(年齢階層×在院期間区分F2＿寛解・院内寛解[#All],MATCH($AH12,年齢階層×在院期間区分F2＿寛解・院内寛解[[#All],[行ラベル]],0),MATCH($AR$3,年齢階層×在院期間区分F2＿寛解・院内寛解[#Headers],0)),0)+IFERROR(INDEX(年齢階層×在院期間区分F2＿寛解・院内寛解[#All],MATCH($AH12,年齢階層×在院期間区分F2＿寛解・院内寛解[[#All],[行ラベル]],0),MATCH($AS$3,年齢階層×在院期間区分F2＿寛解・院内寛解[#Headers],0)),0)+IFERROR(INDEX(年齢階層×在院期間区分F2＿寛解・院内寛解[#All],MATCH($AH12,年齢階層×在院期間区分F2＿寛解・院内寛解[[#All],[行ラベル]],0),MATCH($AT$3,年齢階層×在院期間区分F2＿寛解・院内寛解[#Headers],0)),0)+IFERROR(INDEX(年齢階層×在院期間区分F2＿寛解・院内寛解[#All],MATCH($AH12,年齢階層×在院期間区分F2＿寛解・院内寛解[[#All],[行ラベル]],0),MATCH($AU$3,年齢階層×在院期間区分F2＿寛解・院内寛解[#Headers],0)),0)+IFERROR(INDEX(年齢階層×在院期間区分F2＿寛解・院内寛解[#All],MATCH($AH12,年齢階層×在院期間区分F2＿寛解・院内寛解[[#All],[行ラベル]],0),MATCH($AV$3,年齢階層×在院期間区分F2＿寛解・院内寛解[#Headers],0)),0)</f>
        <v>1</v>
      </c>
      <c r="H28" s="213">
        <f t="shared" si="9"/>
        <v>1.3157894736842105E-2</v>
      </c>
      <c r="I28" s="234">
        <f>IFERROR(INDEX(年齢階層×在院期間区分F2＿寛解・院内寛解[#All],MATCH($AH12,年齢階層×在院期間区分F2＿寛解・院内寛解[[#All],[行ラベル]],0),MATCH($AW$3,年齢階層×在院期間区分F2＿寛解・院内寛解[#Headers],0)),0)+IFERROR(INDEX(年齢階層×在院期間区分F2＿寛解・院内寛解[#All],MATCH($AH12,年齢階層×在院期間区分F2＿寛解・院内寛解[[#All],[行ラベル]],0),MATCH($AX$3,年齢階層×在院期間区分F2＿寛解・院内寛解[#Headers],0)),0)</f>
        <v>1</v>
      </c>
      <c r="J28" s="213">
        <f t="shared" si="10"/>
        <v>1.2048192771084338E-2</v>
      </c>
      <c r="K28" s="211">
        <f t="shared" si="11"/>
        <v>5</v>
      </c>
      <c r="L28" s="213">
        <f t="shared" si="12"/>
        <v>7.0721357850070717E-3</v>
      </c>
      <c r="M28" s="78"/>
      <c r="O28" s="54" t="s">
        <v>10</v>
      </c>
      <c r="P28" s="66">
        <v>2</v>
      </c>
      <c r="Q28" s="66"/>
      <c r="R28" s="66"/>
      <c r="S28" s="66">
        <v>1</v>
      </c>
      <c r="T28" s="66"/>
      <c r="U28" s="66"/>
      <c r="V28" s="66"/>
      <c r="W28" s="66"/>
      <c r="X28" s="66"/>
      <c r="Y28" s="66"/>
      <c r="Z28" s="66">
        <v>1</v>
      </c>
      <c r="AA28" s="66"/>
      <c r="AB28" s="66"/>
      <c r="AC28" s="66"/>
      <c r="AD28" s="66"/>
      <c r="AE28" s="66">
        <v>1</v>
      </c>
      <c r="AH28" s="54" t="s">
        <v>10</v>
      </c>
    </row>
    <row r="29" spans="2:38" s="22" customFormat="1" ht="18.75" customHeight="1" thickTop="1" thickBot="1" x14ac:dyDescent="0.2">
      <c r="B29" s="235" t="s">
        <v>161</v>
      </c>
      <c r="C29" s="236">
        <f t="shared" ref="C29:L29" si="13">SUM(C20:C28)</f>
        <v>389</v>
      </c>
      <c r="D29" s="243">
        <f t="shared" si="13"/>
        <v>0.99999999999999989</v>
      </c>
      <c r="E29" s="236">
        <f t="shared" si="13"/>
        <v>159</v>
      </c>
      <c r="F29" s="243">
        <f t="shared" si="13"/>
        <v>1</v>
      </c>
      <c r="G29" s="236">
        <f t="shared" si="13"/>
        <v>76</v>
      </c>
      <c r="H29" s="243">
        <f t="shared" si="13"/>
        <v>0.99999999999999989</v>
      </c>
      <c r="I29" s="236">
        <f t="shared" si="13"/>
        <v>83</v>
      </c>
      <c r="J29" s="243">
        <f t="shared" si="13"/>
        <v>1</v>
      </c>
      <c r="K29" s="236">
        <f t="shared" si="13"/>
        <v>707</v>
      </c>
      <c r="L29" s="243">
        <f t="shared" si="13"/>
        <v>1</v>
      </c>
      <c r="O29" s="429" t="s">
        <v>308</v>
      </c>
      <c r="P29" s="503" t="s">
        <v>182</v>
      </c>
      <c r="Q29" s="62" t="s">
        <v>183</v>
      </c>
      <c r="R29" s="62" t="s">
        <v>184</v>
      </c>
      <c r="S29" s="62" t="s">
        <v>185</v>
      </c>
      <c r="T29" s="62" t="s">
        <v>186</v>
      </c>
      <c r="U29" s="62" t="s">
        <v>187</v>
      </c>
      <c r="V29" s="62" t="s">
        <v>188</v>
      </c>
      <c r="W29" s="62" t="s">
        <v>189</v>
      </c>
      <c r="X29" s="62" t="s">
        <v>190</v>
      </c>
      <c r="Y29" s="62" t="s">
        <v>191</v>
      </c>
      <c r="Z29" s="62" t="s">
        <v>192</v>
      </c>
      <c r="AA29" s="62" t="s">
        <v>193</v>
      </c>
      <c r="AB29" s="62" t="s">
        <v>194</v>
      </c>
      <c r="AC29" s="62" t="s">
        <v>195</v>
      </c>
      <c r="AD29" s="62" t="s">
        <v>196</v>
      </c>
      <c r="AE29" s="377" t="s">
        <v>197</v>
      </c>
      <c r="AL29" s="59"/>
    </row>
    <row r="30" spans="2:38" s="22" customFormat="1" ht="18.75" customHeight="1" thickTop="1" x14ac:dyDescent="0.15">
      <c r="B30" s="238" t="s">
        <v>93</v>
      </c>
      <c r="C30" s="239">
        <f>IFERROR(INDEX(年齢階層×在院期間区分F2_65歳未満以上＿寛解・院内寛解[#All],MATCH($AH30,年齢階層×在院期間区分F2_65歳未満以上＿寛解・院内寛解[[#All],[列1]],0),MATCH($AI$3,年齢階層×在院期間区分F2_65歳未満以上＿寛解・院内寛解[#Headers],0)),0)+IFERROR(INDEX(年齢階層×在院期間区分F2_65歳未満以上＿寛解・院内寛解[#All],MATCH($AH30,年齢階層×在院期間区分F2_65歳未満以上＿寛解・院内寛解[[#All],[列1]],0),MATCH($AJ$3,年齢階層×在院期間区分F2_65歳未満以上＿寛解・院内寛解[#Headers],0)),0)+IFERROR(INDEX(年齢階層×在院期間区分F2_65歳未満以上＿寛解・院内寛解[#All],MATCH($AH30,年齢階層×在院期間区分F2_65歳未満以上＿寛解・院内寛解[[#All],[列1]],0),MATCH($AK$3,年齢階層×在院期間区分F2_65歳未満以上＿寛解・院内寛解[#Headers],0)),0)+IFERROR(INDEX(年齢階層×在院期間区分F2_65歳未満以上＿寛解・院内寛解[#All],MATCH($AH30,年齢階層×在院期間区分F2_65歳未満以上＿寛解・院内寛解[[#All],[列1]],0),MATCH($AL$3,年齢階層×在院期間区分F2_65歳未満以上＿寛解・院内寛解[#Headers],0)),0)</f>
        <v>275</v>
      </c>
      <c r="D30" s="224">
        <f>IFERROR(C30/$C$29,"-")</f>
        <v>0.70694087403598971</v>
      </c>
      <c r="E30" s="239">
        <f>IFERROR(INDEX(年齢階層×在院期間区分F2_65歳未満以上＿寛解・院内寛解[#All],MATCH($AH30,年齢階層×在院期間区分F2_65歳未満以上＿寛解・院内寛解[[#All],[列1]],0),MATCH($AM$3,年齢階層×在院期間区分F2_65歳未満以上＿寛解・院内寛解[#Headers],0)),0)+IFERROR(INDEX(年齢階層×在院期間区分F2_65歳未満以上＿寛解・院内寛解[#All],MATCH($AH30,年齢階層×在院期間区分F2_65歳未満以上＿寛解・院内寛解[[#All],[列1]],0),MATCH($AN$3,年齢階層×在院期間区分F2_65歳未満以上＿寛解・院内寛解[#Headers],0)),0)+IFERROR(INDEX(年齢階層×在院期間区分F2_65歳未満以上＿寛解・院内寛解[#All],MATCH($AH30,年齢階層×在院期間区分F2_65歳未満以上＿寛解・院内寛解[[#All],[列1]],0),MATCH($AO$3,年齢階層×在院期間区分F2_65歳未満以上＿寛解・院内寛解[#Headers],0)),0)+IFERROR(INDEX(年齢階層×在院期間区分F2_65歳未満以上＿寛解・院内寛解[#All],MATCH($AH30,年齢階層×在院期間区分F2_65歳未満以上＿寛解・院内寛解[[#All],[列1]],0),MATCH($AP$3,年齢階層×在院期間区分F2_65歳未満以上＿寛解・院内寛解[#Headers],0)),0)+IFERROR(INDEX(年齢階層×在院期間区分F2_65歳未満以上＿寛解・院内寛解[#All],MATCH($AH30,年齢階層×在院期間区分F2_65歳未満以上＿寛解・院内寛解[[#All],[列1]],0),MATCH($AQ$3,年齢階層×在院期間区分F2_65歳未満以上＿寛解・院内寛解[#Headers],0)),0)</f>
        <v>89</v>
      </c>
      <c r="F30" s="224">
        <f>IFERROR(E30/$E$29,"-")</f>
        <v>0.55974842767295596</v>
      </c>
      <c r="G30" s="239">
        <f>IFERROR(INDEX(年齢階層×在院期間区分F2_65歳未満以上＿寛解・院内寛解[#All],MATCH($AH30,年齢階層×在院期間区分F2_65歳未満以上＿寛解・院内寛解[[#All],[列1]],0),MATCH($AR$3,年齢階層×在院期間区分F2_65歳未満以上＿寛解・院内寛解[#Headers],0)),0)+IFERROR(INDEX(年齢階層×在院期間区分F2_65歳未満以上＿寛解・院内寛解[#All],MATCH($AH30,年齢階層×在院期間区分F2_65歳未満以上＿寛解・院内寛解[[#All],[列1]],0),MATCH($AS$3,年齢階層×在院期間区分F2_65歳未満以上＿寛解・院内寛解[#Headers],0)),0)+IFERROR(INDEX(年齢階層×在院期間区分F2_65歳未満以上＿寛解・院内寛解[#All],MATCH($AH30,年齢階層×在院期間区分F2_65歳未満以上＿寛解・院内寛解[[#All],[列1]],0),MATCH($AT$3,年齢階層×在院期間区分F2_65歳未満以上＿寛解・院内寛解[#Headers],0)),0)+IFERROR(INDEX(年齢階層×在院期間区分F2_65歳未満以上＿寛解・院内寛解[#All],MATCH($AH30,年齢階層×在院期間区分F2_65歳未満以上＿寛解・院内寛解[[#All],[列1]],0),MATCH($AU$3,年齢階層×在院期間区分F2_65歳未満以上＿寛解・院内寛解[#Headers],0)),0)+IFERROR(INDEX(年齢階層×在院期間区分F2_65歳未満以上＿寛解・院内寛解[#All],MATCH($AH30,年齢階層×在院期間区分F2_65歳未満以上＿寛解・院内寛解[[#All],[列1]],0),MATCH($AV$3,年齢階層×在院期間区分F2_65歳未満以上＿寛解・院内寛解[#Headers],0)),0)</f>
        <v>33</v>
      </c>
      <c r="H30" s="224">
        <f>IFERROR(G30/$G$29,"-")</f>
        <v>0.43421052631578949</v>
      </c>
      <c r="I30" s="239">
        <f>IFERROR(INDEX(年齢階層×在院期間区分F2_65歳未満以上＿寛解・院内寛解[#All],MATCH($AH30,年齢階層×在院期間区分F2_65歳未満以上＿寛解・院内寛解[[#All],[列1]],0),MATCH($AW$3,年齢階層×在院期間区分F2_65歳未満以上＿寛解・院内寛解[#Headers],0)),0)+IFERROR(INDEX(年齢階層×在院期間区分F2_65歳未満以上＿寛解・院内寛解[#All],MATCH($AH30,年齢階層×在院期間区分F2_65歳未満以上＿寛解・院内寛解[[#All],[列1]],0),MATCH($AX$3,年齢階層×在院期間区分F2_65歳未満以上＿寛解・院内寛解[#Headers],0)),0)</f>
        <v>30</v>
      </c>
      <c r="J30" s="224">
        <f>IFERROR(I30/$I$29,"-")</f>
        <v>0.36144578313253012</v>
      </c>
      <c r="K30" s="239">
        <f>C30+E30+G30+I30</f>
        <v>427</v>
      </c>
      <c r="L30" s="224">
        <f>IFERROR(K30/$K$29,"-")</f>
        <v>0.60396039603960394</v>
      </c>
      <c r="O30" s="54" t="s">
        <v>307</v>
      </c>
      <c r="P30" s="66">
        <v>24</v>
      </c>
      <c r="Q30" s="66">
        <v>47</v>
      </c>
      <c r="R30" s="66">
        <v>17</v>
      </c>
      <c r="S30" s="66">
        <v>26</v>
      </c>
      <c r="T30" s="66">
        <v>8</v>
      </c>
      <c r="U30" s="66">
        <v>13</v>
      </c>
      <c r="V30" s="66">
        <v>25</v>
      </c>
      <c r="W30" s="66">
        <v>21</v>
      </c>
      <c r="X30" s="66">
        <v>3</v>
      </c>
      <c r="Y30" s="66">
        <v>8</v>
      </c>
      <c r="Z30" s="66">
        <v>13</v>
      </c>
      <c r="AA30" s="66">
        <v>6</v>
      </c>
      <c r="AB30" s="66">
        <v>5</v>
      </c>
      <c r="AC30" s="66">
        <v>11</v>
      </c>
      <c r="AD30" s="66">
        <v>29</v>
      </c>
      <c r="AE30" s="66">
        <v>24</v>
      </c>
      <c r="AH30" s="83" t="s">
        <v>156</v>
      </c>
    </row>
    <row r="31" spans="2:38" ht="18.75" customHeight="1" x14ac:dyDescent="0.15">
      <c r="B31" s="240" t="s">
        <v>89</v>
      </c>
      <c r="C31" s="239">
        <f>IFERROR(INDEX(年齢階層×在院期間区分F2_65歳未満以上＿寛解・院内寛解[#All],MATCH($AH31,年齢階層×在院期間区分F2_65歳未満以上＿寛解・院内寛解[[#All],[列1]],0),MATCH($AI$3,年齢階層×在院期間区分F2_65歳未満以上＿寛解・院内寛解[#Headers],0)),0)+IFERROR(INDEX(年齢階層×在院期間区分F2_65歳未満以上＿寛解・院内寛解[#All],MATCH($AH31,年齢階層×在院期間区分F2_65歳未満以上＿寛解・院内寛解[[#All],[列1]],0),MATCH($AJ$3,年齢階層×在院期間区分F2_65歳未満以上＿寛解・院内寛解[#Headers],0)),0)+IFERROR(INDEX(年齢階層×在院期間区分F2_65歳未満以上＿寛解・院内寛解[#All],MATCH($AH31,年齢階層×在院期間区分F2_65歳未満以上＿寛解・院内寛解[[#All],[列1]],0),MATCH($AK$3,年齢階層×在院期間区分F2_65歳未満以上＿寛解・院内寛解[#Headers],0)),0)+IFERROR(INDEX(年齢階層×在院期間区分F2_65歳未満以上＿寛解・院内寛解[#All],MATCH($AH31,年齢階層×在院期間区分F2_65歳未満以上＿寛解・院内寛解[[#All],[列1]],0),MATCH($AL$3,年齢階層×在院期間区分F2_65歳未満以上＿寛解・院内寛解[#Headers],0)),0)</f>
        <v>114</v>
      </c>
      <c r="D31" s="241">
        <f>IFERROR(C31/$C$29,"-")</f>
        <v>0.29305912596401029</v>
      </c>
      <c r="E31" s="239">
        <f>IFERROR(INDEX(年齢階層×在院期間区分F2_65歳未満以上＿寛解・院内寛解[#All],MATCH($AH31,年齢階層×在院期間区分F2_65歳未満以上＿寛解・院内寛解[[#All],[列1]],0),MATCH($AM$3,年齢階層×在院期間区分F2_65歳未満以上＿寛解・院内寛解[#Headers],0)),0)+IFERROR(INDEX(年齢階層×在院期間区分F2_65歳未満以上＿寛解・院内寛解[#All],MATCH($AH31,年齢階層×在院期間区分F2_65歳未満以上＿寛解・院内寛解[[#All],[列1]],0),MATCH($AN$3,年齢階層×在院期間区分F2_65歳未満以上＿寛解・院内寛解[#Headers],0)),0)+IFERROR(INDEX(年齢階層×在院期間区分F2_65歳未満以上＿寛解・院内寛解[#All],MATCH($AH31,年齢階層×在院期間区分F2_65歳未満以上＿寛解・院内寛解[[#All],[列1]],0),MATCH($AO$3,年齢階層×在院期間区分F2_65歳未満以上＿寛解・院内寛解[#Headers],0)),0)+IFERROR(INDEX(年齢階層×在院期間区分F2_65歳未満以上＿寛解・院内寛解[#All],MATCH($AH31,年齢階層×在院期間区分F2_65歳未満以上＿寛解・院内寛解[[#All],[列1]],0),MATCH($AP$3,年齢階層×在院期間区分F2_65歳未満以上＿寛解・院内寛解[#Headers],0)),0)+IFERROR(INDEX(年齢階層×在院期間区分F2_65歳未満以上＿寛解・院内寛解[#All],MATCH($AH31,年齢階層×在院期間区分F2_65歳未満以上＿寛解・院内寛解[[#All],[列1]],0),MATCH($AQ$3,年齢階層×在院期間区分F2_65歳未満以上＿寛解・院内寛解[#Headers],0)),0)</f>
        <v>70</v>
      </c>
      <c r="F31" s="241">
        <f>IFERROR(E31/$E$29,"-")</f>
        <v>0.44025157232704404</v>
      </c>
      <c r="G31" s="239">
        <f>IFERROR(INDEX(年齢階層×在院期間区分F2_65歳未満以上＿寛解・院内寛解[#All],MATCH($AH31,年齢階層×在院期間区分F2_65歳未満以上＿寛解・院内寛解[[#All],[列1]],0),MATCH($AR$3,年齢階層×在院期間区分F2_65歳未満以上＿寛解・院内寛解[#Headers],0)),0)+IFERROR(INDEX(年齢階層×在院期間区分F2_65歳未満以上＿寛解・院内寛解[#All],MATCH($AH31,年齢階層×在院期間区分F2_65歳未満以上＿寛解・院内寛解[[#All],[列1]],0),MATCH($AS$3,年齢階層×在院期間区分F2_65歳未満以上＿寛解・院内寛解[#Headers],0)),0)+IFERROR(INDEX(年齢階層×在院期間区分F2_65歳未満以上＿寛解・院内寛解[#All],MATCH($AH31,年齢階層×在院期間区分F2_65歳未満以上＿寛解・院内寛解[[#All],[列1]],0),MATCH($AT$3,年齢階層×在院期間区分F2_65歳未満以上＿寛解・院内寛解[#Headers],0)),0)+IFERROR(INDEX(年齢階層×在院期間区分F2_65歳未満以上＿寛解・院内寛解[#All],MATCH($AH31,年齢階層×在院期間区分F2_65歳未満以上＿寛解・院内寛解[[#All],[列1]],0),MATCH($AU$3,年齢階層×在院期間区分F2_65歳未満以上＿寛解・院内寛解[#Headers],0)),0)+IFERROR(INDEX(年齢階層×在院期間区分F2_65歳未満以上＿寛解・院内寛解[#All],MATCH($AH31,年齢階層×在院期間区分F2_65歳未満以上＿寛解・院内寛解[[#All],[列1]],0),MATCH($AV$3,年齢階層×在院期間区分F2_65歳未満以上＿寛解・院内寛解[#Headers],0)),0)</f>
        <v>43</v>
      </c>
      <c r="H31" s="241">
        <f>IFERROR(G31/$G$29,"-")</f>
        <v>0.56578947368421051</v>
      </c>
      <c r="I31" s="239">
        <f>IFERROR(INDEX(年齢階層×在院期間区分F2_65歳未満以上＿寛解・院内寛解[#All],MATCH($AH31,年齢階層×在院期間区分F2_65歳未満以上＿寛解・院内寛解[[#All],[列1]],0),MATCH($AW$3,年齢階層×在院期間区分F2_65歳未満以上＿寛解・院内寛解[#Headers],0)),0)+IFERROR(INDEX(年齢階層×在院期間区分F2_65歳未満以上＿寛解・院内寛解[#All],MATCH($AH31,年齢階層×在院期間区分F2_65歳未満以上＿寛解・院内寛解[[#All],[列1]],0),MATCH($AX$3,年齢階層×在院期間区分F2_65歳未満以上＿寛解・院内寛解[#Headers],0)),0)</f>
        <v>53</v>
      </c>
      <c r="J31" s="241">
        <f>IFERROR(I31/$I$29,"-")</f>
        <v>0.63855421686746983</v>
      </c>
      <c r="K31" s="239">
        <f>C31+E31+G31+I31</f>
        <v>280</v>
      </c>
      <c r="L31" s="241">
        <f>IFERROR(K31/$K$29,"-")</f>
        <v>0.39603960396039606</v>
      </c>
      <c r="O31" s="83" t="s">
        <v>306</v>
      </c>
      <c r="P31" s="66">
        <v>85</v>
      </c>
      <c r="Q31" s="66">
        <v>115</v>
      </c>
      <c r="R31" s="66">
        <v>46</v>
      </c>
      <c r="S31" s="66">
        <v>29</v>
      </c>
      <c r="T31" s="66">
        <v>16</v>
      </c>
      <c r="U31" s="66">
        <v>13</v>
      </c>
      <c r="V31" s="66">
        <v>34</v>
      </c>
      <c r="W31" s="66">
        <v>14</v>
      </c>
      <c r="X31" s="66">
        <v>12</v>
      </c>
      <c r="Y31" s="66">
        <v>8</v>
      </c>
      <c r="Z31" s="66">
        <v>4</v>
      </c>
      <c r="AA31" s="66">
        <v>8</v>
      </c>
      <c r="AB31" s="66">
        <v>5</v>
      </c>
      <c r="AC31" s="66">
        <v>8</v>
      </c>
      <c r="AD31" s="66">
        <v>23</v>
      </c>
      <c r="AE31" s="66">
        <v>7</v>
      </c>
      <c r="AH31" s="83" t="s">
        <v>88</v>
      </c>
    </row>
    <row r="32" spans="2:38" x14ac:dyDescent="0.15">
      <c r="F32" s="67"/>
      <c r="H32" s="67"/>
      <c r="J32" s="67"/>
      <c r="K32" s="45"/>
    </row>
    <row r="34" spans="2:49" hidden="1" x14ac:dyDescent="0.15">
      <c r="C34" s="53"/>
      <c r="D34" s="62"/>
      <c r="E34" s="62"/>
      <c r="F34" s="62"/>
      <c r="G34" s="62"/>
      <c r="H34" s="62"/>
      <c r="I34" s="62"/>
      <c r="J34" s="62"/>
      <c r="K34" s="62"/>
      <c r="L34" s="62"/>
      <c r="M34" s="62"/>
      <c r="N34" s="62"/>
      <c r="O34" s="62"/>
      <c r="P34" s="62"/>
      <c r="Q34" s="62"/>
      <c r="R34" s="84"/>
    </row>
    <row r="35" spans="2:49" x14ac:dyDescent="0.15">
      <c r="B35" s="38"/>
      <c r="C35" s="23"/>
      <c r="D35" s="23"/>
      <c r="E35" s="23"/>
      <c r="F35" s="23"/>
      <c r="G35" s="23"/>
      <c r="H35" s="23"/>
      <c r="I35" s="23"/>
      <c r="J35" s="23"/>
      <c r="K35" s="23"/>
      <c r="L35" s="23"/>
      <c r="M35" s="23"/>
      <c r="N35" s="23"/>
      <c r="O35" s="23"/>
      <c r="P35" s="23"/>
      <c r="Q35" s="23"/>
      <c r="R35" s="23"/>
      <c r="S35" s="23"/>
    </row>
    <row r="36" spans="2:49" x14ac:dyDescent="0.15">
      <c r="B36" s="38"/>
      <c r="C36" s="23"/>
      <c r="D36" s="23"/>
      <c r="E36" s="23"/>
      <c r="F36" s="23"/>
      <c r="G36" s="23"/>
      <c r="H36" s="23"/>
      <c r="I36" s="23"/>
      <c r="J36" s="23"/>
      <c r="K36" s="23"/>
      <c r="L36" s="23"/>
      <c r="M36" s="23"/>
      <c r="N36" s="23"/>
      <c r="O36" s="23"/>
      <c r="P36" s="23"/>
      <c r="Q36" s="23"/>
      <c r="R36" s="23"/>
      <c r="S36" s="23"/>
    </row>
    <row r="37" spans="2:49" x14ac:dyDescent="0.15">
      <c r="B37" s="50"/>
      <c r="C37" s="85"/>
      <c r="D37" s="85"/>
      <c r="E37" s="85"/>
      <c r="F37" s="85"/>
      <c r="G37" s="85"/>
      <c r="H37" s="85"/>
      <c r="I37" s="85"/>
      <c r="J37" s="85"/>
      <c r="K37" s="85"/>
      <c r="L37" s="85"/>
      <c r="M37" s="85"/>
      <c r="N37" s="85"/>
      <c r="O37" s="85"/>
      <c r="P37" s="85"/>
      <c r="Q37" s="85"/>
      <c r="R37" s="85"/>
      <c r="S37" s="85"/>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row>
    <row r="38" spans="2:49" ht="35.25" customHeight="1" x14ac:dyDescent="0.1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row>
    <row r="39" spans="2:49" x14ac:dyDescent="0.15">
      <c r="B39" s="7"/>
      <c r="C39" s="86"/>
      <c r="D39" s="86"/>
      <c r="E39" s="86"/>
      <c r="F39" s="86"/>
      <c r="G39" s="86"/>
      <c r="H39" s="86"/>
      <c r="I39" s="86"/>
      <c r="J39" s="86"/>
      <c r="K39" s="86"/>
      <c r="L39" s="86"/>
      <c r="M39" s="86"/>
      <c r="N39" s="86"/>
      <c r="O39" s="86"/>
      <c r="P39" s="86"/>
      <c r="Q39" s="86"/>
      <c r="R39" s="86"/>
      <c r="S39" s="86"/>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row>
    <row r="40" spans="2:49" x14ac:dyDescent="0.15">
      <c r="B40" s="7"/>
      <c r="C40" s="86"/>
      <c r="D40" s="86"/>
      <c r="E40" s="86"/>
      <c r="F40" s="86"/>
      <c r="G40" s="86"/>
      <c r="H40" s="86"/>
      <c r="I40" s="86"/>
      <c r="J40" s="86"/>
      <c r="K40" s="86"/>
      <c r="L40" s="86"/>
      <c r="M40" s="86"/>
      <c r="N40" s="86"/>
      <c r="O40" s="86"/>
      <c r="P40" s="86"/>
      <c r="Q40" s="86"/>
      <c r="R40" s="86"/>
      <c r="S40" s="86"/>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row>
    <row r="41" spans="2:49" x14ac:dyDescent="0.15">
      <c r="B41" s="7"/>
      <c r="C41" s="86"/>
      <c r="D41" s="86"/>
      <c r="E41" s="86"/>
      <c r="F41" s="86"/>
      <c r="G41" s="86"/>
      <c r="H41" s="86"/>
      <c r="I41" s="86"/>
      <c r="J41" s="86"/>
      <c r="K41" s="86"/>
      <c r="L41" s="86"/>
      <c r="M41" s="86"/>
      <c r="N41" s="86"/>
      <c r="O41" s="86"/>
      <c r="P41" s="86"/>
      <c r="Q41" s="86"/>
      <c r="R41" s="86"/>
      <c r="S41" s="86"/>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row>
    <row r="42" spans="2:49" x14ac:dyDescent="0.1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row>
    <row r="43" spans="2:49" x14ac:dyDescent="0.1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row>
    <row r="44" spans="2:49" x14ac:dyDescent="0.1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row>
    <row r="45" spans="2:49" x14ac:dyDescent="0.1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row>
    <row r="46" spans="2:49" x14ac:dyDescent="0.1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row>
    <row r="47" spans="2:49" x14ac:dyDescent="0.1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row>
    <row r="48" spans="2:49" x14ac:dyDescent="0.1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row>
    <row r="49" spans="2:49" x14ac:dyDescent="0.1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row>
    <row r="50" spans="2:49" x14ac:dyDescent="0.1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row>
    <row r="51" spans="2:49" x14ac:dyDescent="0.1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row>
    <row r="52" spans="2:49" x14ac:dyDescent="0.1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row>
    <row r="53" spans="2:49" x14ac:dyDescent="0.1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row>
    <row r="54" spans="2:49" x14ac:dyDescent="0.1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row>
    <row r="55" spans="2:49" x14ac:dyDescent="0.1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row>
    <row r="56" spans="2:49" x14ac:dyDescent="0.1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row>
    <row r="57" spans="2:49" x14ac:dyDescent="0.1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row>
    <row r="58" spans="2:49" x14ac:dyDescent="0.1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row>
    <row r="59" spans="2:49" x14ac:dyDescent="0.1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row>
    <row r="60" spans="2:49" x14ac:dyDescent="0.1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row>
    <row r="61" spans="2:49" x14ac:dyDescent="0.1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row>
    <row r="62" spans="2:49" x14ac:dyDescent="0.1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row>
    <row r="63" spans="2:49" x14ac:dyDescent="0.1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row>
    <row r="64" spans="2:49" x14ac:dyDescent="0.1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row>
    <row r="65" spans="2:49" x14ac:dyDescent="0.1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row>
    <row r="66" spans="2:49" x14ac:dyDescent="0.1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row>
    <row r="67" spans="2:49" x14ac:dyDescent="0.1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row>
    <row r="68" spans="2:49" x14ac:dyDescent="0.1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row>
    <row r="69" spans="2:49" x14ac:dyDescent="0.1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row>
    <row r="70" spans="2:49" x14ac:dyDescent="0.1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row>
    <row r="71" spans="2:49" x14ac:dyDescent="0.1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row>
    <row r="72" spans="2:49" x14ac:dyDescent="0.1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row>
    <row r="73" spans="2:49" x14ac:dyDescent="0.1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row>
    <row r="74" spans="2:49" x14ac:dyDescent="0.1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row>
    <row r="75" spans="2:49" x14ac:dyDescent="0.1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row>
    <row r="76" spans="2:49" x14ac:dyDescent="0.1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row>
    <row r="77" spans="2:49" x14ac:dyDescent="0.1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row>
    <row r="78" spans="2:49" x14ac:dyDescent="0.1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row>
    <row r="79" spans="2:49" x14ac:dyDescent="0.1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row>
    <row r="80" spans="2:49" x14ac:dyDescent="0.1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row>
    <row r="81" spans="2:49" x14ac:dyDescent="0.1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row>
    <row r="82" spans="2:49" x14ac:dyDescent="0.1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row>
    <row r="83" spans="2:49" x14ac:dyDescent="0.1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row>
    <row r="84" spans="2:49" x14ac:dyDescent="0.1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row>
    <row r="85" spans="2:49" x14ac:dyDescent="0.1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row>
    <row r="86" spans="2:49" x14ac:dyDescent="0.1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row>
    <row r="87" spans="2:49" x14ac:dyDescent="0.1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row>
    <row r="88" spans="2:49" x14ac:dyDescent="0.1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row>
    <row r="89" spans="2:49" x14ac:dyDescent="0.1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row>
    <row r="90" spans="2:49" x14ac:dyDescent="0.1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row>
    <row r="91" spans="2:49" x14ac:dyDescent="0.1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row>
    <row r="92" spans="2:49" x14ac:dyDescent="0.1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row>
    <row r="93" spans="2:49" x14ac:dyDescent="0.1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row>
    <row r="94" spans="2:49" x14ac:dyDescent="0.1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row>
    <row r="95" spans="2:49" x14ac:dyDescent="0.1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row>
    <row r="96" spans="2:49" x14ac:dyDescent="0.1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row>
    <row r="97" spans="2:49" x14ac:dyDescent="0.1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row>
    <row r="98" spans="2:49" x14ac:dyDescent="0.1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row>
    <row r="99" spans="2:49" x14ac:dyDescent="0.1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row>
    <row r="100" spans="2:49" x14ac:dyDescent="0.1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row>
    <row r="101" spans="2:49" x14ac:dyDescent="0.1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row>
    <row r="102" spans="2:49" x14ac:dyDescent="0.1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row>
    <row r="103" spans="2:49" x14ac:dyDescent="0.1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row>
    <row r="104" spans="2:49" x14ac:dyDescent="0.1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row>
    <row r="105" spans="2:49" x14ac:dyDescent="0.1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row>
    <row r="106" spans="2:49" x14ac:dyDescent="0.1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row>
    <row r="107" spans="2:49" x14ac:dyDescent="0.1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row>
    <row r="108" spans="2:49" x14ac:dyDescent="0.1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row>
    <row r="109" spans="2:49" x14ac:dyDescent="0.1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row>
    <row r="110" spans="2:49" x14ac:dyDescent="0.1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row>
    <row r="111" spans="2:49" x14ac:dyDescent="0.1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row>
    <row r="112" spans="2:49" x14ac:dyDescent="0.1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row>
    <row r="113" spans="2:49" x14ac:dyDescent="0.1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row>
    <row r="114" spans="2:49" x14ac:dyDescent="0.1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row>
    <row r="115" spans="2:49" x14ac:dyDescent="0.1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row>
    <row r="116" spans="2:49" x14ac:dyDescent="0.1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row>
    <row r="117" spans="2:49" x14ac:dyDescent="0.1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row>
    <row r="118" spans="2:49" x14ac:dyDescent="0.1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row>
    <row r="119" spans="2:49" x14ac:dyDescent="0.1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row>
    <row r="120" spans="2:49" x14ac:dyDescent="0.1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row>
    <row r="121" spans="2:49" x14ac:dyDescent="0.1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row>
    <row r="122" spans="2:49" x14ac:dyDescent="0.1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row>
    <row r="123" spans="2:49" x14ac:dyDescent="0.1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row>
    <row r="124" spans="2:49" x14ac:dyDescent="0.1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row>
    <row r="125" spans="2:49" x14ac:dyDescent="0.1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row>
    <row r="126" spans="2:49" x14ac:dyDescent="0.1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row>
    <row r="127" spans="2:49" x14ac:dyDescent="0.1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row>
    <row r="128" spans="2:49" x14ac:dyDescent="0.1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row>
    <row r="129" spans="2:49" x14ac:dyDescent="0.1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row>
    <row r="130" spans="2:49" x14ac:dyDescent="0.1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row>
    <row r="131" spans="2:49" x14ac:dyDescent="0.1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row>
    <row r="132" spans="2:49" x14ac:dyDescent="0.1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row>
    <row r="133" spans="2:49" x14ac:dyDescent="0.1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row>
    <row r="134" spans="2:49" x14ac:dyDescent="0.1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row>
    <row r="135" spans="2:49" x14ac:dyDescent="0.1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row>
    <row r="136" spans="2:49" x14ac:dyDescent="0.1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row>
    <row r="137" spans="2:49" x14ac:dyDescent="0.1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row>
    <row r="138" spans="2:49" x14ac:dyDescent="0.1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row>
    <row r="139" spans="2:49" x14ac:dyDescent="0.1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row>
    <row r="140" spans="2:49" x14ac:dyDescent="0.1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row>
    <row r="141" spans="2:49" x14ac:dyDescent="0.1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row>
    <row r="142" spans="2:49" x14ac:dyDescent="0.1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row>
    <row r="143" spans="2:49" x14ac:dyDescent="0.1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row>
    <row r="144" spans="2:49" x14ac:dyDescent="0.1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row>
    <row r="145" spans="2:49" x14ac:dyDescent="0.1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row>
    <row r="146" spans="2:49" x14ac:dyDescent="0.1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row>
    <row r="147" spans="2:49" x14ac:dyDescent="0.1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row>
    <row r="148" spans="2:49" x14ac:dyDescent="0.1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row>
    <row r="149" spans="2:49" x14ac:dyDescent="0.1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row>
    <row r="150" spans="2:49" x14ac:dyDescent="0.1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row>
    <row r="151" spans="2:49" x14ac:dyDescent="0.1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row>
    <row r="152" spans="2:49" x14ac:dyDescent="0.1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row>
    <row r="153" spans="2:49" x14ac:dyDescent="0.1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row>
    <row r="154" spans="2:49" x14ac:dyDescent="0.1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row>
    <row r="155" spans="2:49" x14ac:dyDescent="0.1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row>
    <row r="156" spans="2:49" x14ac:dyDescent="0.1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row>
    <row r="157" spans="2:49" x14ac:dyDescent="0.1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row>
    <row r="158" spans="2:49" x14ac:dyDescent="0.1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row>
    <row r="159" spans="2:49" x14ac:dyDescent="0.1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row>
    <row r="160" spans="2:49" x14ac:dyDescent="0.1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row>
    <row r="161" spans="2:49" x14ac:dyDescent="0.1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row>
    <row r="162" spans="2:49" x14ac:dyDescent="0.1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row>
    <row r="163" spans="2:49" x14ac:dyDescent="0.1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row>
    <row r="164" spans="2:49" x14ac:dyDescent="0.1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row>
    <row r="165" spans="2:49" x14ac:dyDescent="0.1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row>
    <row r="166" spans="2:49" x14ac:dyDescent="0.1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row>
    <row r="167" spans="2:49" x14ac:dyDescent="0.1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row>
    <row r="168" spans="2:49" x14ac:dyDescent="0.1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row>
    <row r="169" spans="2:49" x14ac:dyDescent="0.1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row>
    <row r="170" spans="2:49" x14ac:dyDescent="0.1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row>
    <row r="171" spans="2:49" x14ac:dyDescent="0.1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row>
    <row r="172" spans="2:49" x14ac:dyDescent="0.1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row>
    <row r="173" spans="2:49" x14ac:dyDescent="0.1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row>
    <row r="174" spans="2:49" x14ac:dyDescent="0.1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row>
    <row r="175" spans="2:49" x14ac:dyDescent="0.1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row>
    <row r="176" spans="2:49" x14ac:dyDescent="0.1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row>
    <row r="177" spans="2:49" x14ac:dyDescent="0.1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row>
    <row r="178" spans="2:49" x14ac:dyDescent="0.1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row>
    <row r="179" spans="2:49" x14ac:dyDescent="0.1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row>
    <row r="180" spans="2:49" x14ac:dyDescent="0.1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row>
    <row r="181" spans="2:49" x14ac:dyDescent="0.1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row>
    <row r="182" spans="2:49" x14ac:dyDescent="0.1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row>
    <row r="183" spans="2:49" x14ac:dyDescent="0.1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row>
    <row r="184" spans="2:49" x14ac:dyDescent="0.1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row>
    <row r="185" spans="2:49" x14ac:dyDescent="0.1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row>
    <row r="186" spans="2:49" x14ac:dyDescent="0.1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row>
    <row r="187" spans="2:49" x14ac:dyDescent="0.1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row>
    <row r="188" spans="2:49" x14ac:dyDescent="0.1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row>
    <row r="189" spans="2:49" x14ac:dyDescent="0.1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row>
    <row r="190" spans="2:49" x14ac:dyDescent="0.1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row>
    <row r="191" spans="2:49" x14ac:dyDescent="0.1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row>
    <row r="192" spans="2:49" x14ac:dyDescent="0.1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row>
    <row r="193" spans="2:49" x14ac:dyDescent="0.1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row>
    <row r="194" spans="2:49" x14ac:dyDescent="0.1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row>
    <row r="195" spans="2:49" x14ac:dyDescent="0.1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row>
    <row r="196" spans="2:49" x14ac:dyDescent="0.1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row>
    <row r="197" spans="2:49" x14ac:dyDescent="0.1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row>
    <row r="198" spans="2:49" x14ac:dyDescent="0.1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row>
    <row r="199" spans="2:49" x14ac:dyDescent="0.1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row>
    <row r="200" spans="2:49" x14ac:dyDescent="0.1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row>
    <row r="201" spans="2:49" x14ac:dyDescent="0.1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row>
    <row r="202" spans="2:49" x14ac:dyDescent="0.1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row>
    <row r="203" spans="2:49" x14ac:dyDescent="0.1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row>
    <row r="204" spans="2:49" x14ac:dyDescent="0.1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row>
    <row r="205" spans="2:49" x14ac:dyDescent="0.1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row>
    <row r="206" spans="2:49" x14ac:dyDescent="0.1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row>
    <row r="207" spans="2:49" x14ac:dyDescent="0.1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row>
    <row r="208" spans="2:49" x14ac:dyDescent="0.1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row>
    <row r="209" spans="2:49" x14ac:dyDescent="0.1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row>
    <row r="210" spans="2:49" x14ac:dyDescent="0.1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row>
    <row r="211" spans="2:49" x14ac:dyDescent="0.1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row>
    <row r="212" spans="2:49" x14ac:dyDescent="0.1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row>
    <row r="213" spans="2:49" x14ac:dyDescent="0.1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row>
    <row r="214" spans="2:49" x14ac:dyDescent="0.1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row>
    <row r="215" spans="2:49" x14ac:dyDescent="0.1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row>
    <row r="216" spans="2:49" x14ac:dyDescent="0.1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row>
    <row r="217" spans="2:49" x14ac:dyDescent="0.1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row>
    <row r="218" spans="2:49" x14ac:dyDescent="0.1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row>
    <row r="219" spans="2:49" x14ac:dyDescent="0.1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row>
    <row r="220" spans="2:49" x14ac:dyDescent="0.1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row>
    <row r="221" spans="2:49" x14ac:dyDescent="0.1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row>
    <row r="222" spans="2:49" x14ac:dyDescent="0.1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row>
    <row r="223" spans="2:49" x14ac:dyDescent="0.1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row>
    <row r="224" spans="2:49" x14ac:dyDescent="0.1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row>
    <row r="225" spans="2:49" x14ac:dyDescent="0.1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row>
    <row r="226" spans="2:49" x14ac:dyDescent="0.1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row>
    <row r="227" spans="2:49" x14ac:dyDescent="0.1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row>
    <row r="228" spans="2:49" x14ac:dyDescent="0.1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row>
    <row r="229" spans="2:49" x14ac:dyDescent="0.1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row>
    <row r="230" spans="2:49" x14ac:dyDescent="0.1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row>
  </sheetData>
  <mergeCells count="14">
    <mergeCell ref="B18:B19"/>
    <mergeCell ref="C18:L18"/>
    <mergeCell ref="C19:D19"/>
    <mergeCell ref="E19:F19"/>
    <mergeCell ref="G19:H19"/>
    <mergeCell ref="I19:J19"/>
    <mergeCell ref="K19:L19"/>
    <mergeCell ref="B2:B3"/>
    <mergeCell ref="C2:L2"/>
    <mergeCell ref="C3:D3"/>
    <mergeCell ref="E3:F3"/>
    <mergeCell ref="G3:H3"/>
    <mergeCell ref="I3:J3"/>
    <mergeCell ref="K3:L3"/>
  </mergeCells>
  <phoneticPr fontId="2"/>
  <printOptions horizontalCentered="1"/>
  <pageMargins left="0.70866141732283472" right="0.70866141732283472" top="0.74803149606299213" bottom="0.74803149606299213" header="0.31496062992125984" footer="0.31496062992125984"/>
  <pageSetup paperSize="9" scale="92" orientation="landscape" r:id="rId1"/>
  <ignoredErrors>
    <ignoredError sqref="L13 J13 H13 F13 D13 L29 J29 H29 F29 D2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データ削除21">
                <anchor moveWithCells="1" sizeWithCells="1">
                  <from>
                    <xdr:col>31</xdr:col>
                    <xdr:colOff>314325</xdr:colOff>
                    <xdr:row>0</xdr:row>
                    <xdr:rowOff>66675</xdr:rowOff>
                  </from>
                  <to>
                    <xdr:col>33</xdr:col>
                    <xdr:colOff>333375</xdr:colOff>
                    <xdr:row>2</xdr:row>
                    <xdr:rowOff>123825</xdr:rowOff>
                  </to>
                </anchor>
              </controlPr>
            </control>
          </mc:Choice>
        </mc:AlternateContent>
      </controls>
    </mc:Choice>
  </mc:AlternateContent>
  <tableParts count="4">
    <tablePart r:id="rId5"/>
    <tablePart r:id="rId6"/>
    <tablePart r:id="rId7"/>
    <tablePart r:id="rId8"/>
  </tablePar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FF0000"/>
    <pageSetUpPr fitToPage="1"/>
  </sheetPr>
  <dimension ref="B1:BA230"/>
  <sheetViews>
    <sheetView showGridLines="0" zoomScale="60" zoomScaleNormal="60" zoomScaleSheetLayoutView="80" workbookViewId="0">
      <selection activeCell="B18" sqref="B18:L31"/>
    </sheetView>
  </sheetViews>
  <sheetFormatPr defaultRowHeight="18.75" x14ac:dyDescent="0.15"/>
  <cols>
    <col min="1" max="1" width="4" style="1" customWidth="1"/>
    <col min="2" max="2" width="12.5" style="1" customWidth="1"/>
    <col min="3" max="12" width="8.75" style="1" customWidth="1"/>
    <col min="13" max="13" width="16.5" style="1" customWidth="1"/>
    <col min="14" max="14" width="2.5" style="1" customWidth="1"/>
    <col min="15" max="15" width="17.75" style="1" hidden="1" customWidth="1"/>
    <col min="16" max="31" width="11.125" style="1" hidden="1" customWidth="1"/>
    <col min="32" max="53" width="9" style="1" hidden="1" customWidth="1"/>
    <col min="54" max="54" width="0" style="1" hidden="1" customWidth="1"/>
    <col min="55" max="16384" width="9" style="1"/>
  </cols>
  <sheetData>
    <row r="1" spans="2:53" ht="19.5" customHeight="1" x14ac:dyDescent="0.15">
      <c r="B1" s="2" t="s">
        <v>163</v>
      </c>
    </row>
    <row r="2" spans="2:53" ht="18.75" customHeight="1" thickBot="1" x14ac:dyDescent="0.2">
      <c r="B2" s="714" t="s">
        <v>65</v>
      </c>
      <c r="C2" s="716" t="s">
        <v>64</v>
      </c>
      <c r="D2" s="717"/>
      <c r="E2" s="717"/>
      <c r="F2" s="717"/>
      <c r="G2" s="717"/>
      <c r="H2" s="717"/>
      <c r="I2" s="717"/>
      <c r="J2" s="717"/>
      <c r="K2" s="717"/>
      <c r="L2" s="718"/>
      <c r="O2" s="34" t="s">
        <v>63</v>
      </c>
    </row>
    <row r="3" spans="2:53" ht="18.75" customHeight="1" thickTop="1" thickBot="1" x14ac:dyDescent="0.2">
      <c r="B3" s="715"/>
      <c r="C3" s="719" t="s">
        <v>69</v>
      </c>
      <c r="D3" s="720"/>
      <c r="E3" s="719" t="s">
        <v>70</v>
      </c>
      <c r="F3" s="720"/>
      <c r="G3" s="719" t="s">
        <v>71</v>
      </c>
      <c r="H3" s="720"/>
      <c r="I3" s="719" t="s">
        <v>72</v>
      </c>
      <c r="J3" s="720"/>
      <c r="K3" s="719" t="s">
        <v>62</v>
      </c>
      <c r="L3" s="720"/>
      <c r="O3" s="429" t="s">
        <v>370</v>
      </c>
      <c r="P3" s="503" t="s">
        <v>183</v>
      </c>
      <c r="Q3" s="503" t="s">
        <v>182</v>
      </c>
      <c r="R3" s="503" t="s">
        <v>184</v>
      </c>
      <c r="S3" s="503" t="s">
        <v>185</v>
      </c>
      <c r="T3" s="503" t="s">
        <v>186</v>
      </c>
      <c r="U3" s="503" t="s">
        <v>187</v>
      </c>
      <c r="V3" s="503" t="s">
        <v>188</v>
      </c>
      <c r="W3" s="503" t="s">
        <v>189</v>
      </c>
      <c r="X3" s="503" t="s">
        <v>190</v>
      </c>
      <c r="Y3" s="503" t="s">
        <v>191</v>
      </c>
      <c r="Z3" s="503" t="s">
        <v>192</v>
      </c>
      <c r="AA3" s="503" t="s">
        <v>193</v>
      </c>
      <c r="AB3" s="503" t="s">
        <v>194</v>
      </c>
      <c r="AC3" s="503" t="s">
        <v>195</v>
      </c>
      <c r="AD3" s="503" t="s">
        <v>196</v>
      </c>
      <c r="AE3" s="56" t="s">
        <v>197</v>
      </c>
      <c r="AL3" s="486" t="s">
        <v>182</v>
      </c>
      <c r="AM3" s="487" t="s">
        <v>183</v>
      </c>
      <c r="AN3" s="487" t="s">
        <v>184</v>
      </c>
      <c r="AO3" s="487" t="s">
        <v>185</v>
      </c>
      <c r="AP3" s="487" t="s">
        <v>186</v>
      </c>
      <c r="AQ3" s="487" t="s">
        <v>187</v>
      </c>
      <c r="AR3" s="487" t="s">
        <v>188</v>
      </c>
      <c r="AS3" s="487" t="s">
        <v>189</v>
      </c>
      <c r="AT3" s="487" t="s">
        <v>190</v>
      </c>
      <c r="AU3" s="487" t="s">
        <v>191</v>
      </c>
      <c r="AV3" s="487" t="s">
        <v>192</v>
      </c>
      <c r="AW3" s="487" t="s">
        <v>193</v>
      </c>
      <c r="AX3" s="487" t="s">
        <v>194</v>
      </c>
      <c r="AY3" s="487" t="s">
        <v>195</v>
      </c>
      <c r="AZ3" s="487" t="s">
        <v>196</v>
      </c>
      <c r="BA3" s="486" t="s">
        <v>197</v>
      </c>
    </row>
    <row r="4" spans="2:53" s="22" customFormat="1" ht="18.75" customHeight="1" thickTop="1" x14ac:dyDescent="0.15">
      <c r="B4" s="228" t="s">
        <v>2</v>
      </c>
      <c r="C4" s="229">
        <f>IFERROR(INDEX(年齢階層×在院期間区分F00F01[#All],MATCH($AK4,年齢階層×在院期間区分F00F01[[#All],[行ラベル]],0),MATCH($AL$3,年齢階層×在院期間区分F00F01[#Headers],0)),0)+IFERROR(INDEX(年齢階層×在院期間区分F00F01[#All],MATCH($AK4,年齢階層×在院期間区分F00F01[[#All],[行ラベル]],0),MATCH($AM$3,年齢階層×在院期間区分F00F01[#Headers],0)),0)+IFERROR(INDEX(年齢階層×在院期間区分F00F01[#All],MATCH($AK4,年齢階層×在院期間区分F00F01[[#All],[行ラベル]],0),MATCH($AN$3,年齢階層×在院期間区分F00F01[#Headers],0)),0)+IFERROR(INDEX(年齢階層×在院期間区分F00F01[#All],MATCH($AK4,年齢階層×在院期間区分F00F01[[#All],[行ラベル]],0),MATCH($AO$3,年齢階層×在院期間区分F00F01[#Headers],0)),0)</f>
        <v>0</v>
      </c>
      <c r="D4" s="224">
        <f t="shared" ref="D4:D12" si="0">IFERROR(C4/$C$13,"-")</f>
        <v>0</v>
      </c>
      <c r="E4" s="229">
        <f>IFERROR(INDEX(年齢階層×在院期間区分F00F01[#All],MATCH($AK4,年齢階層×在院期間区分F00F01[[#All],[行ラベル]],0),MATCH($AP$3,年齢階層×在院期間区分F00F01[#Headers],0)),0)+IFERROR(INDEX(年齢階層×在院期間区分F00F01[#All],MATCH($AK4,年齢階層×在院期間区分F00F01[[#All],[行ラベル]],0),MATCH($AQ$3,年齢階層×在院期間区分F00F01[#Headers],0)),0)+IFERROR(INDEX(年齢階層×在院期間区分F00F01[#All],MATCH($AK4,年齢階層×在院期間区分F00F01[[#All],[行ラベル]],0),MATCH($AR$3,年齢階層×在院期間区分F00F01[#Headers],0)),0)+IFERROR(INDEX(年齢階層×在院期間区分F00F01[#All],MATCH($AK4,年齢階層×在院期間区分F00F01[[#All],[行ラベル]],0),MATCH($AS$3,年齢階層×在院期間区分F00F01[#Headers],0)),0)+IFERROR(INDEX(年齢階層×在院期間区分F00F01[#All],MATCH($AK4,年齢階層×在院期間区分F00F01[[#All],[行ラベル]],0),MATCH($AT$3,年齢階層×在院期間区分F00F01[#Headers],0)),0)</f>
        <v>0</v>
      </c>
      <c r="F4" s="224">
        <f t="shared" ref="F4:F12" si="1">IFERROR(E4/$E$13,"-")</f>
        <v>0</v>
      </c>
      <c r="G4" s="229">
        <f>IFERROR(INDEX(年齢階層×在院期間区分F00F01[#All],MATCH($AK4,年齢階層×在院期間区分F00F01[[#All],[行ラベル]],0),MATCH($AU$3,年齢階層×在院期間区分F00F01[#Headers],0)),0)+IFERROR(INDEX(年齢階層×在院期間区分F00F01[#All],MATCH($AK4,年齢階層×在院期間区分F00F01[[#All],[行ラベル]],0),MATCH($AV$3,年齢階層×在院期間区分F00F01[#Headers],0)),0)+IFERROR(INDEX(年齢階層×在院期間区分F00F01[#All],MATCH($AK4,年齢階層×在院期間区分F00F01[[#All],[行ラベル]],0),MATCH($AW$3,年齢階層×在院期間区分F00F01[#Headers],0)),0)+IFERROR(INDEX(年齢階層×在院期間区分F00F01[#All],MATCH($AK4,年齢階層×在院期間区分F00F01[[#All],[行ラベル]],0),MATCH($AX$3,年齢階層×在院期間区分F00F01[#Headers],0)),0)+IFERROR(INDEX(年齢階層×在院期間区分F00F01[#All],MATCH($AK4,年齢階層×在院期間区分F00F01[[#All],[行ラベル]],0),MATCH($AY$3,年齢階層×在院期間区分F00F01[#Headers],0)),0)</f>
        <v>0</v>
      </c>
      <c r="H4" s="224">
        <f t="shared" ref="H4:H12" si="2">IFERROR(G4/$G$13,"-")</f>
        <v>0</v>
      </c>
      <c r="I4" s="223">
        <f>IFERROR(INDEX(年齢階層×在院期間区分F00F01[#All],MATCH($AK4,年齢階層×在院期間区分F00F01[[#All],[行ラベル]],0),MATCH($AZ$3,年齢階層×在院期間区分F00F01[#Headers],0)),0)+IFERROR(INDEX(年齢階層×在院期間区分F00F01[#All],MATCH($AK4,年齢階層×在院期間区分F00F01[[#All],[行ラベル]],0),MATCH($BA$3,年齢階層×在院期間区分F00F01[#Headers],0)),0)</f>
        <v>0</v>
      </c>
      <c r="J4" s="224">
        <f t="shared" ref="J4:J12" si="3">IFERROR(I4/$I$13,"-")</f>
        <v>0</v>
      </c>
      <c r="K4" s="223">
        <f t="shared" ref="K4:K12" si="4">SUM(C4,E4,G4,I4)</f>
        <v>0</v>
      </c>
      <c r="L4" s="224">
        <f t="shared" ref="L4:L12" si="5">IFERROR(K4/$K$13,"-")</f>
        <v>0</v>
      </c>
      <c r="O4" s="54" t="s">
        <v>4</v>
      </c>
      <c r="P4" s="66"/>
      <c r="Q4" s="66"/>
      <c r="R4" s="66"/>
      <c r="S4" s="66"/>
      <c r="T4" s="66"/>
      <c r="U4" s="66"/>
      <c r="V4" s="66"/>
      <c r="W4" s="66">
        <v>1</v>
      </c>
      <c r="X4" s="66"/>
      <c r="Y4" s="66"/>
      <c r="Z4" s="66"/>
      <c r="AA4" s="66"/>
      <c r="AB4" s="66"/>
      <c r="AC4" s="66"/>
      <c r="AD4" s="66"/>
      <c r="AE4" s="66"/>
      <c r="AK4" s="54" t="s">
        <v>2</v>
      </c>
      <c r="AL4" s="67"/>
      <c r="AO4" s="81"/>
    </row>
    <row r="5" spans="2:53" s="22" customFormat="1" ht="18.75" customHeight="1" x14ac:dyDescent="0.15">
      <c r="B5" s="230" t="s">
        <v>3</v>
      </c>
      <c r="C5" s="231">
        <f>IFERROR(INDEX(年齢階層×在院期間区分F00F01[#All],MATCH($AK5,年齢階層×在院期間区分F00F01[[#All],[行ラベル]],0),MATCH($AL$3,年齢階層×在院期間区分F00F01[#Headers],0)),0)+IFERROR(INDEX(年齢階層×在院期間区分F00F01[#All],MATCH($AK5,年齢階層×在院期間区分F00F01[[#All],[行ラベル]],0),MATCH($AM$3,年齢階層×在院期間区分F00F01[#Headers],0)),0)+IFERROR(INDEX(年齢階層×在院期間区分F00F01[#All],MATCH($AK5,年齢階層×在院期間区分F00F01[[#All],[行ラベル]],0),MATCH($AN$3,年齢階層×在院期間区分F00F01[#Headers],0)),0)+IFERROR(INDEX(年齢階層×在院期間区分F00F01[#All],MATCH($AK5,年齢階層×在院期間区分F00F01[[#All],[行ラベル]],0),MATCH($AO$3,年齢階層×在院期間区分F00F01[#Headers],0)),0)</f>
        <v>0</v>
      </c>
      <c r="D5" s="209">
        <f t="shared" si="0"/>
        <v>0</v>
      </c>
      <c r="E5" s="208">
        <f>IFERROR(INDEX(年齢階層×在院期間区分F00F01[#All],MATCH($AK5,年齢階層×在院期間区分F00F01[[#All],[行ラベル]],0),MATCH($AP$3,年齢階層×在院期間区分F00F01[#Headers],0)),0)+IFERROR(INDEX(年齢階層×在院期間区分F00F01[#All],MATCH($AK5,年齢階層×在院期間区分F00F01[[#All],[行ラベル]],0),MATCH($AQ$3,年齢階層×在院期間区分F00F01[#Headers],0)),0)+IFERROR(INDEX(年齢階層×在院期間区分F00F01[#All],MATCH($AK5,年齢階層×在院期間区分F00F01[[#All],[行ラベル]],0),MATCH($AR$3,年齢階層×在院期間区分F00F01[#Headers],0)),0)+IFERROR(INDEX(年齢階層×在院期間区分F00F01[#All],MATCH($AK5,年齢階層×在院期間区分F00F01[[#All],[行ラベル]],0),MATCH($AS$3,年齢階層×在院期間区分F00F01[#Headers],0)),0)+IFERROR(INDEX(年齢階層×在院期間区分F00F01[#All],MATCH($AK5,年齢階層×在院期間区分F00F01[[#All],[行ラベル]],0),MATCH($AT$3,年齢階層×在院期間区分F00F01[#Headers],0)),0)</f>
        <v>0</v>
      </c>
      <c r="F5" s="209">
        <f t="shared" si="1"/>
        <v>0</v>
      </c>
      <c r="G5" s="231">
        <f>IFERROR(INDEX(年齢階層×在院期間区分F00F01[#All],MATCH($AK5,年齢階層×在院期間区分F00F01[[#All],[行ラベル]],0),MATCH($AU$3,年齢階層×在院期間区分F00F01[#Headers],0)),0)+IFERROR(INDEX(年齢階層×在院期間区分F00F01[#All],MATCH($AK5,年齢階層×在院期間区分F00F01[[#All],[行ラベル]],0),MATCH($AV$3,年齢階層×在院期間区分F00F01[#Headers],0)),0)+IFERROR(INDEX(年齢階層×在院期間区分F00F01[#All],MATCH($AK5,年齢階層×在院期間区分F00F01[[#All],[行ラベル]],0),MATCH($AW$3,年齢階層×在院期間区分F00F01[#Headers],0)),0)+IFERROR(INDEX(年齢階層×在院期間区分F00F01[#All],MATCH($AK5,年齢階層×在院期間区分F00F01[[#All],[行ラベル]],0),MATCH($AX$3,年齢階層×在院期間区分F00F01[#Headers],0)),0)+IFERROR(INDEX(年齢階層×在院期間区分F00F01[#All],MATCH($AK5,年齢階層×在院期間区分F00F01[[#All],[行ラベル]],0),MATCH($AY$3,年齢階層×在院期間区分F00F01[#Headers],0)),0)</f>
        <v>0</v>
      </c>
      <c r="H5" s="209">
        <f t="shared" si="2"/>
        <v>0</v>
      </c>
      <c r="I5" s="232">
        <f>IFERROR(INDEX(年齢階層×在院期間区分F00F01[#All],MATCH($AK5,年齢階層×在院期間区分F00F01[[#All],[行ラベル]],0),MATCH($AZ$3,年齢階層×在院期間区分F00F01[#Headers],0)),0)+IFERROR(INDEX(年齢階層×在院期間区分F00F01[#All],MATCH($AK5,年齢階層×在院期間区分F00F01[[#All],[行ラベル]],0),MATCH($BA$3,年齢階層×在院期間区分F00F01[#Headers],0)),0)</f>
        <v>0</v>
      </c>
      <c r="J5" s="209">
        <f t="shared" si="3"/>
        <v>0</v>
      </c>
      <c r="K5" s="208">
        <f t="shared" si="4"/>
        <v>0</v>
      </c>
      <c r="L5" s="209">
        <f t="shared" si="5"/>
        <v>0</v>
      </c>
      <c r="O5" s="54" t="s">
        <v>5</v>
      </c>
      <c r="P5" s="66"/>
      <c r="Q5" s="66">
        <v>2</v>
      </c>
      <c r="R5" s="66"/>
      <c r="S5" s="66">
        <v>1</v>
      </c>
      <c r="T5" s="66"/>
      <c r="U5" s="66"/>
      <c r="V5" s="66"/>
      <c r="W5" s="66"/>
      <c r="X5" s="66">
        <v>1</v>
      </c>
      <c r="Y5" s="66"/>
      <c r="Z5" s="66"/>
      <c r="AA5" s="66"/>
      <c r="AB5" s="66"/>
      <c r="AC5" s="66"/>
      <c r="AD5" s="66"/>
      <c r="AE5" s="66"/>
      <c r="AK5" s="54" t="s">
        <v>3</v>
      </c>
      <c r="AL5" s="67"/>
      <c r="AM5" s="67"/>
      <c r="AO5" s="81"/>
    </row>
    <row r="6" spans="2:53" s="22" customFormat="1" ht="18.75" customHeight="1" x14ac:dyDescent="0.15">
      <c r="B6" s="230" t="s">
        <v>4</v>
      </c>
      <c r="C6" s="231">
        <f>IFERROR(INDEX(年齢階層×在院期間区分F00F01[#All],MATCH($AK6,年齢階層×在院期間区分F00F01[[#All],[行ラベル]],0),MATCH($AL$3,年齢階層×在院期間区分F00F01[#Headers],0)),0)+IFERROR(INDEX(年齢階層×在院期間区分F00F01[#All],MATCH($AK6,年齢階層×在院期間区分F00F01[[#All],[行ラベル]],0),MATCH($AM$3,年齢階層×在院期間区分F00F01[#Headers],0)),0)+IFERROR(INDEX(年齢階層×在院期間区分F00F01[#All],MATCH($AK6,年齢階層×在院期間区分F00F01[[#All],[行ラベル]],0),MATCH($AN$3,年齢階層×在院期間区分F00F01[#Headers],0)),0)+IFERROR(INDEX(年齢階層×在院期間区分F00F01[#All],MATCH($AK6,年齢階層×在院期間区分F00F01[[#All],[行ラベル]],0),MATCH($AO$3,年齢階層×在院期間区分F00F01[#Headers],0)),0)</f>
        <v>0</v>
      </c>
      <c r="D6" s="209">
        <f t="shared" si="0"/>
        <v>0</v>
      </c>
      <c r="E6" s="232">
        <f>IFERROR(INDEX(年齢階層×在院期間区分F00F01[#All],MATCH($AK6,年齢階層×在院期間区分F00F01[[#All],[行ラベル]],0),MATCH($AP$3,年齢階層×在院期間区分F00F01[#Headers],0)),0)+IFERROR(INDEX(年齢階層×在院期間区分F00F01[#All],MATCH($AK6,年齢階層×在院期間区分F00F01[[#All],[行ラベル]],0),MATCH($AQ$3,年齢階層×在院期間区分F00F01[#Headers],0)),0)+IFERROR(INDEX(年齢階層×在院期間区分F00F01[#All],MATCH($AK6,年齢階層×在院期間区分F00F01[[#All],[行ラベル]],0),MATCH($AR$3,年齢階層×在院期間区分F00F01[#Headers],0)),0)+IFERROR(INDEX(年齢階層×在院期間区分F00F01[#All],MATCH($AK6,年齢階層×在院期間区分F00F01[[#All],[行ラベル]],0),MATCH($AS$3,年齢階層×在院期間区分F00F01[#Headers],0)),0)+IFERROR(INDEX(年齢階層×在院期間区分F00F01[#All],MATCH($AK6,年齢階層×在院期間区分F00F01[[#All],[行ラベル]],0),MATCH($AT$3,年齢階層×在院期間区分F00F01[#Headers],0)),0)</f>
        <v>1</v>
      </c>
      <c r="F6" s="209">
        <f t="shared" si="1"/>
        <v>9.99000999000999E-4</v>
      </c>
      <c r="G6" s="231">
        <f>IFERROR(INDEX(年齢階層×在院期間区分F00F01[#All],MATCH($AK6,年齢階層×在院期間区分F00F01[[#All],[行ラベル]],0),MATCH($AU$3,年齢階層×在院期間区分F00F01[#Headers],0)),0)+IFERROR(INDEX(年齢階層×在院期間区分F00F01[#All],MATCH($AK6,年齢階層×在院期間区分F00F01[[#All],[行ラベル]],0),MATCH($AV$3,年齢階層×在院期間区分F00F01[#Headers],0)),0)+IFERROR(INDEX(年齢階層×在院期間区分F00F01[#All],MATCH($AK6,年齢階層×在院期間区分F00F01[[#All],[行ラベル]],0),MATCH($AW$3,年齢階層×在院期間区分F00F01[#Headers],0)),0)+IFERROR(INDEX(年齢階層×在院期間区分F00F01[#All],MATCH($AK6,年齢階層×在院期間区分F00F01[[#All],[行ラベル]],0),MATCH($AX$3,年齢階層×在院期間区分F00F01[#Headers],0)),0)+IFERROR(INDEX(年齢階層×在院期間区分F00F01[#All],MATCH($AK6,年齢階層×在院期間区分F00F01[[#All],[行ラベル]],0),MATCH($AY$3,年齢階層×在院期間区分F00F01[#Headers],0)),0)</f>
        <v>0</v>
      </c>
      <c r="H6" s="209">
        <f t="shared" si="2"/>
        <v>0</v>
      </c>
      <c r="I6" s="208">
        <f>IFERROR(INDEX(年齢階層×在院期間区分F00F01[#All],MATCH($AK6,年齢階層×在院期間区分F00F01[[#All],[行ラベル]],0),MATCH($AZ$3,年齢階層×在院期間区分F00F01[#Headers],0)),0)+IFERROR(INDEX(年齢階層×在院期間区分F00F01[#All],MATCH($AK6,年齢階層×在院期間区分F00F01[[#All],[行ラベル]],0),MATCH($BA$3,年齢階層×在院期間区分F00F01[#Headers],0)),0)</f>
        <v>0</v>
      </c>
      <c r="J6" s="209">
        <f t="shared" si="3"/>
        <v>0</v>
      </c>
      <c r="K6" s="208">
        <f t="shared" si="4"/>
        <v>1</v>
      </c>
      <c r="L6" s="209">
        <f t="shared" si="5"/>
        <v>4.0783034257748778E-4</v>
      </c>
      <c r="O6" s="54" t="s">
        <v>6</v>
      </c>
      <c r="P6" s="66">
        <v>2</v>
      </c>
      <c r="Q6" s="66">
        <v>3</v>
      </c>
      <c r="R6" s="66">
        <v>2</v>
      </c>
      <c r="S6" s="66">
        <v>4</v>
      </c>
      <c r="T6" s="66">
        <v>2</v>
      </c>
      <c r="U6" s="66">
        <v>3</v>
      </c>
      <c r="V6" s="66">
        <v>2</v>
      </c>
      <c r="W6" s="66">
        <v>4</v>
      </c>
      <c r="X6" s="66">
        <v>1</v>
      </c>
      <c r="Y6" s="66"/>
      <c r="Z6" s="66"/>
      <c r="AA6" s="66"/>
      <c r="AB6" s="66">
        <v>1</v>
      </c>
      <c r="AC6" s="66"/>
      <c r="AD6" s="66">
        <v>3</v>
      </c>
      <c r="AE6" s="66">
        <v>1</v>
      </c>
      <c r="AK6" s="54" t="s">
        <v>4</v>
      </c>
      <c r="AL6" s="67"/>
      <c r="AM6" s="67"/>
      <c r="AO6" s="81"/>
    </row>
    <row r="7" spans="2:53" s="22" customFormat="1" ht="18.75" customHeight="1" x14ac:dyDescent="0.15">
      <c r="B7" s="230" t="s">
        <v>5</v>
      </c>
      <c r="C7" s="208">
        <f>IFERROR(INDEX(年齢階層×在院期間区分F00F01[#All],MATCH($AK7,年齢階層×在院期間区分F00F01[[#All],[行ラベル]],0),MATCH($AL$3,年齢階層×在院期間区分F00F01[#Headers],0)),0)+IFERROR(INDEX(年齢階層×在院期間区分F00F01[#All],MATCH($AK7,年齢階層×在院期間区分F00F01[[#All],[行ラベル]],0),MATCH($AM$3,年齢階層×在院期間区分F00F01[#Headers],0)),0)+IFERROR(INDEX(年齢階層×在院期間区分F00F01[#All],MATCH($AK7,年齢階層×在院期間区分F00F01[[#All],[行ラベル]],0),MATCH($AN$3,年齢階層×在院期間区分F00F01[#Headers],0)),0)+IFERROR(INDEX(年齢階層×在院期間区分F00F01[#All],MATCH($AK7,年齢階層×在院期間区分F00F01[[#All],[行ラベル]],0),MATCH($AO$3,年齢階層×在院期間区分F00F01[#Headers],0)),0)</f>
        <v>3</v>
      </c>
      <c r="D7" s="209">
        <f t="shared" si="0"/>
        <v>2.508361204013378E-3</v>
      </c>
      <c r="E7" s="208">
        <f>IFERROR(INDEX(年齢階層×在院期間区分F00F01[#All],MATCH($AK7,年齢階層×在院期間区分F00F01[[#All],[行ラベル]],0),MATCH($AP$3,年齢階層×在院期間区分F00F01[#Headers],0)),0)+IFERROR(INDEX(年齢階層×在院期間区分F00F01[#All],MATCH($AK7,年齢階層×在院期間区分F00F01[[#All],[行ラベル]],0),MATCH($AQ$3,年齢階層×在院期間区分F00F01[#Headers],0)),0)+IFERROR(INDEX(年齢階層×在院期間区分F00F01[#All],MATCH($AK7,年齢階層×在院期間区分F00F01[[#All],[行ラベル]],0),MATCH($AR$3,年齢階層×在院期間区分F00F01[#Headers],0)),0)+IFERROR(INDEX(年齢階層×在院期間区分F00F01[#All],MATCH($AK7,年齢階層×在院期間区分F00F01[[#All],[行ラベル]],0),MATCH($AS$3,年齢階層×在院期間区分F00F01[#Headers],0)),0)+IFERROR(INDEX(年齢階層×在院期間区分F00F01[#All],MATCH($AK7,年齢階層×在院期間区分F00F01[[#All],[行ラベル]],0),MATCH($AT$3,年齢階層×在院期間区分F00F01[#Headers],0)),0)</f>
        <v>1</v>
      </c>
      <c r="F7" s="209">
        <f t="shared" si="1"/>
        <v>9.99000999000999E-4</v>
      </c>
      <c r="G7" s="231">
        <f>IFERROR(INDEX(年齢階層×在院期間区分F00F01[#All],MATCH($AK7,年齢階層×在院期間区分F00F01[[#All],[行ラベル]],0),MATCH($AU$3,年齢階層×在院期間区分F00F01[#Headers],0)),0)+IFERROR(INDEX(年齢階層×在院期間区分F00F01[#All],MATCH($AK7,年齢階層×在院期間区分F00F01[[#All],[行ラベル]],0),MATCH($AV$3,年齢階層×在院期間区分F00F01[#Headers],0)),0)+IFERROR(INDEX(年齢階層×在院期間区分F00F01[#All],MATCH($AK7,年齢階層×在院期間区分F00F01[[#All],[行ラベル]],0),MATCH($AW$3,年齢階層×在院期間区分F00F01[#Headers],0)),0)+IFERROR(INDEX(年齢階層×在院期間区分F00F01[#All],MATCH($AK7,年齢階層×在院期間区分F00F01[[#All],[行ラベル]],0),MATCH($AX$3,年齢階層×在院期間区分F00F01[#Headers],0)),0)+IFERROR(INDEX(年齢階層×在院期間区分F00F01[#All],MATCH($AK7,年齢階層×在院期間区分F00F01[[#All],[行ラベル]],0),MATCH($AY$3,年齢階層×在院期間区分F00F01[#Headers],0)),0)</f>
        <v>0</v>
      </c>
      <c r="H7" s="209">
        <f t="shared" si="2"/>
        <v>0</v>
      </c>
      <c r="I7" s="232">
        <f>IFERROR(INDEX(年齢階層×在院期間区分F00F01[#All],MATCH($AK7,年齢階層×在院期間区分F00F01[[#All],[行ラベル]],0),MATCH($AZ$3,年齢階層×在院期間区分F00F01[#Headers],0)),0)+IFERROR(INDEX(年齢階層×在院期間区分F00F01[#All],MATCH($AK7,年齢階層×在院期間区分F00F01[[#All],[行ラベル]],0),MATCH($BA$3,年齢階層×在院期間区分F00F01[#Headers],0)),0)</f>
        <v>0</v>
      </c>
      <c r="J7" s="209">
        <f t="shared" si="3"/>
        <v>0</v>
      </c>
      <c r="K7" s="208">
        <f t="shared" si="4"/>
        <v>4</v>
      </c>
      <c r="L7" s="209">
        <f t="shared" si="5"/>
        <v>1.6313213703099511E-3</v>
      </c>
      <c r="O7" s="54" t="s">
        <v>7</v>
      </c>
      <c r="P7" s="66">
        <v>8</v>
      </c>
      <c r="Q7" s="66">
        <v>13</v>
      </c>
      <c r="R7" s="66">
        <v>13</v>
      </c>
      <c r="S7" s="66">
        <v>15</v>
      </c>
      <c r="T7" s="66">
        <v>9</v>
      </c>
      <c r="U7" s="66">
        <v>6</v>
      </c>
      <c r="V7" s="66">
        <v>14</v>
      </c>
      <c r="W7" s="66">
        <v>7</v>
      </c>
      <c r="X7" s="66">
        <v>3</v>
      </c>
      <c r="Y7" s="66">
        <v>3</v>
      </c>
      <c r="Z7" s="66">
        <v>4</v>
      </c>
      <c r="AA7" s="66"/>
      <c r="AB7" s="66"/>
      <c r="AC7" s="66">
        <v>1</v>
      </c>
      <c r="AD7" s="66"/>
      <c r="AE7" s="66">
        <v>1</v>
      </c>
      <c r="AK7" s="54" t="s">
        <v>5</v>
      </c>
      <c r="AL7" s="67"/>
      <c r="AM7" s="67"/>
      <c r="AO7" s="81"/>
    </row>
    <row r="8" spans="2:53" s="22" customFormat="1" ht="18.75" customHeight="1" x14ac:dyDescent="0.15">
      <c r="B8" s="230" t="s">
        <v>6</v>
      </c>
      <c r="C8" s="208">
        <f>IFERROR(INDEX(年齢階層×在院期間区分F00F01[#All],MATCH($AK8,年齢階層×在院期間区分F00F01[[#All],[行ラベル]],0),MATCH($AL$3,年齢階層×在院期間区分F00F01[#Headers],0)),0)+IFERROR(INDEX(年齢階層×在院期間区分F00F01[#All],MATCH($AK8,年齢階層×在院期間区分F00F01[[#All],[行ラベル]],0),MATCH($AM$3,年齢階層×在院期間区分F00F01[#Headers],0)),0)+IFERROR(INDEX(年齢階層×在院期間区分F00F01[#All],MATCH($AK8,年齢階層×在院期間区分F00F01[[#All],[行ラベル]],0),MATCH($AN$3,年齢階層×在院期間区分F00F01[#Headers],0)),0)+IFERROR(INDEX(年齢階層×在院期間区分F00F01[#All],MATCH($AK8,年齢階層×在院期間区分F00F01[[#All],[行ラベル]],0),MATCH($AO$3,年齢階層×在院期間区分F00F01[#Headers],0)),0)</f>
        <v>11</v>
      </c>
      <c r="D8" s="209">
        <f t="shared" si="0"/>
        <v>9.1973244147157199E-3</v>
      </c>
      <c r="E8" s="208">
        <f>IFERROR(INDEX(年齢階層×在院期間区分F00F01[#All],MATCH($AK8,年齢階層×在院期間区分F00F01[[#All],[行ラベル]],0),MATCH($AP$3,年齢階層×在院期間区分F00F01[#Headers],0)),0)+IFERROR(INDEX(年齢階層×在院期間区分F00F01[#All],MATCH($AK8,年齢階層×在院期間区分F00F01[[#All],[行ラベル]],0),MATCH($AQ$3,年齢階層×在院期間区分F00F01[#Headers],0)),0)+IFERROR(INDEX(年齢階層×在院期間区分F00F01[#All],MATCH($AK8,年齢階層×在院期間区分F00F01[[#All],[行ラベル]],0),MATCH($AR$3,年齢階層×在院期間区分F00F01[#Headers],0)),0)+IFERROR(INDEX(年齢階層×在院期間区分F00F01[#All],MATCH($AK8,年齢階層×在院期間区分F00F01[[#All],[行ラベル]],0),MATCH($AS$3,年齢階層×在院期間区分F00F01[#Headers],0)),0)+IFERROR(INDEX(年齢階層×在院期間区分F00F01[#All],MATCH($AK8,年齢階層×在院期間区分F00F01[[#All],[行ラベル]],0),MATCH($AT$3,年齢階層×在院期間区分F00F01[#Headers],0)),0)</f>
        <v>12</v>
      </c>
      <c r="F8" s="209">
        <f t="shared" si="1"/>
        <v>1.1988011988011988E-2</v>
      </c>
      <c r="G8" s="231">
        <f>IFERROR(INDEX(年齢階層×在院期間区分F00F01[#All],MATCH($AK8,年齢階層×在院期間区分F00F01[[#All],[行ラベル]],0),MATCH($AU$3,年齢階層×在院期間区分F00F01[#Headers],0)),0)+IFERROR(INDEX(年齢階層×在院期間区分F00F01[#All],MATCH($AK8,年齢階層×在院期間区分F00F01[[#All],[行ラベル]],0),MATCH($AV$3,年齢階層×在院期間区分F00F01[#Headers],0)),0)+IFERROR(INDEX(年齢階層×在院期間区分F00F01[#All],MATCH($AK8,年齢階層×在院期間区分F00F01[[#All],[行ラベル]],0),MATCH($AW$3,年齢階層×在院期間区分F00F01[#Headers],0)),0)+IFERROR(INDEX(年齢階層×在院期間区分F00F01[#All],MATCH($AK8,年齢階層×在院期間区分F00F01[[#All],[行ラベル]],0),MATCH($AX$3,年齢階層×在院期間区分F00F01[#Headers],0)),0)+IFERROR(INDEX(年齢階層×在院期間区分F00F01[#All],MATCH($AK8,年齢階層×在院期間区分F00F01[[#All],[行ラベル]],0),MATCH($AY$3,年齢階層×在院期間区分F00F01[#Headers],0)),0)</f>
        <v>1</v>
      </c>
      <c r="H8" s="209">
        <f t="shared" si="2"/>
        <v>5.5248618784530384E-3</v>
      </c>
      <c r="I8" s="231">
        <f>IFERROR(INDEX(年齢階層×在院期間区分F00F01[#All],MATCH($AK8,年齢階層×在院期間区分F00F01[[#All],[行ラベル]],0),MATCH($AZ$3,年齢階層×在院期間区分F00F01[#Headers],0)),0)+IFERROR(INDEX(年齢階層×在院期間区分F00F01[#All],MATCH($AK8,年齢階層×在院期間区分F00F01[[#All],[行ラベル]],0),MATCH($BA$3,年齢階層×在院期間区分F00F01[#Headers],0)),0)</f>
        <v>4</v>
      </c>
      <c r="J8" s="209">
        <f t="shared" si="3"/>
        <v>5.4054054054054057E-2</v>
      </c>
      <c r="K8" s="208">
        <f t="shared" si="4"/>
        <v>28</v>
      </c>
      <c r="L8" s="209">
        <f t="shared" si="5"/>
        <v>1.1419249592169658E-2</v>
      </c>
      <c r="O8" s="54" t="s">
        <v>8</v>
      </c>
      <c r="P8" s="66">
        <v>92</v>
      </c>
      <c r="Q8" s="66">
        <v>66</v>
      </c>
      <c r="R8" s="66">
        <v>85</v>
      </c>
      <c r="S8" s="66">
        <v>93</v>
      </c>
      <c r="T8" s="66">
        <v>57</v>
      </c>
      <c r="U8" s="66">
        <v>49</v>
      </c>
      <c r="V8" s="66">
        <v>67</v>
      </c>
      <c r="W8" s="66">
        <v>43</v>
      </c>
      <c r="X8" s="66">
        <v>28</v>
      </c>
      <c r="Y8" s="66">
        <v>13</v>
      </c>
      <c r="Z8" s="66">
        <v>10</v>
      </c>
      <c r="AA8" s="66">
        <v>6</v>
      </c>
      <c r="AB8" s="66">
        <v>7</v>
      </c>
      <c r="AC8" s="66">
        <v>4</v>
      </c>
      <c r="AD8" s="66">
        <v>19</v>
      </c>
      <c r="AE8" s="66">
        <v>7</v>
      </c>
      <c r="AK8" s="54" t="s">
        <v>6</v>
      </c>
      <c r="AL8" s="67"/>
      <c r="AM8" s="67"/>
      <c r="AO8" s="81"/>
    </row>
    <row r="9" spans="2:53" s="22" customFormat="1" ht="18.75" customHeight="1" x14ac:dyDescent="0.15">
      <c r="B9" s="230" t="s">
        <v>7</v>
      </c>
      <c r="C9" s="208">
        <f>IFERROR(INDEX(年齢階層×在院期間区分F00F01[#All],MATCH($AK9,年齢階層×在院期間区分F00F01[[#All],[行ラベル]],0),MATCH($AL$3,年齢階層×在院期間区分F00F01[#Headers],0)),0)+IFERROR(INDEX(年齢階層×在院期間区分F00F01[#All],MATCH($AK9,年齢階層×在院期間区分F00F01[[#All],[行ラベル]],0),MATCH($AM$3,年齢階層×在院期間区分F00F01[#Headers],0)),0)+IFERROR(INDEX(年齢階層×在院期間区分F00F01[#All],MATCH($AK9,年齢階層×在院期間区分F00F01[[#All],[行ラベル]],0),MATCH($AN$3,年齢階層×在院期間区分F00F01[#Headers],0)),0)+IFERROR(INDEX(年齢階層×在院期間区分F00F01[#All],MATCH($AK9,年齢階層×在院期間区分F00F01[[#All],[行ラベル]],0),MATCH($AO$3,年齢階層×在院期間区分F00F01[#Headers],0)),0)</f>
        <v>49</v>
      </c>
      <c r="D9" s="209">
        <f t="shared" si="0"/>
        <v>4.096989966555184E-2</v>
      </c>
      <c r="E9" s="232">
        <f>IFERROR(INDEX(年齢階層×在院期間区分F00F01[#All],MATCH($AK9,年齢階層×在院期間区分F00F01[[#All],[行ラベル]],0),MATCH($AP$3,年齢階層×在院期間区分F00F01[#Headers],0)),0)+IFERROR(INDEX(年齢階層×在院期間区分F00F01[#All],MATCH($AK9,年齢階層×在院期間区分F00F01[[#All],[行ラベル]],0),MATCH($AQ$3,年齢階層×在院期間区分F00F01[#Headers],0)),0)+IFERROR(INDEX(年齢階層×在院期間区分F00F01[#All],MATCH($AK9,年齢階層×在院期間区分F00F01[[#All],[行ラベル]],0),MATCH($AR$3,年齢階層×在院期間区分F00F01[#Headers],0)),0)+IFERROR(INDEX(年齢階層×在院期間区分F00F01[#All],MATCH($AK9,年齢階層×在院期間区分F00F01[[#All],[行ラベル]],0),MATCH($AS$3,年齢階層×在院期間区分F00F01[#Headers],0)),0)+IFERROR(INDEX(年齢階層×在院期間区分F00F01[#All],MATCH($AK9,年齢階層×在院期間区分F00F01[[#All],[行ラベル]],0),MATCH($AT$3,年齢階層×在院期間区分F00F01[#Headers],0)),0)</f>
        <v>39</v>
      </c>
      <c r="F9" s="209">
        <f t="shared" si="1"/>
        <v>3.896103896103896E-2</v>
      </c>
      <c r="G9" s="231">
        <f>IFERROR(INDEX(年齢階層×在院期間区分F00F01[#All],MATCH($AK9,年齢階層×在院期間区分F00F01[[#All],[行ラベル]],0),MATCH($AU$3,年齢階層×在院期間区分F00F01[#Headers],0)),0)+IFERROR(INDEX(年齢階層×在院期間区分F00F01[#All],MATCH($AK9,年齢階層×在院期間区分F00F01[[#All],[行ラベル]],0),MATCH($AV$3,年齢階層×在院期間区分F00F01[#Headers],0)),0)+IFERROR(INDEX(年齢階層×在院期間区分F00F01[#All],MATCH($AK9,年齢階層×在院期間区分F00F01[[#All],[行ラベル]],0),MATCH($AW$3,年齢階層×在院期間区分F00F01[#Headers],0)),0)+IFERROR(INDEX(年齢階層×在院期間区分F00F01[#All],MATCH($AK9,年齢階層×在院期間区分F00F01[[#All],[行ラベル]],0),MATCH($AX$3,年齢階層×在院期間区分F00F01[#Headers],0)),0)+IFERROR(INDEX(年齢階層×在院期間区分F00F01[#All],MATCH($AK9,年齢階層×在院期間区分F00F01[[#All],[行ラベル]],0),MATCH($AY$3,年齢階層×在院期間区分F00F01[#Headers],0)),0)</f>
        <v>8</v>
      </c>
      <c r="H9" s="209">
        <f t="shared" si="2"/>
        <v>4.4198895027624308E-2</v>
      </c>
      <c r="I9" s="208">
        <f>IFERROR(INDEX(年齢階層×在院期間区分F00F01[#All],MATCH($AK9,年齢階層×在院期間区分F00F01[[#All],[行ラベル]],0),MATCH($AZ$3,年齢階層×在院期間区分F00F01[#Headers],0)),0)+IFERROR(INDEX(年齢階層×在院期間区分F00F01[#All],MATCH($AK9,年齢階層×在院期間区分F00F01[[#All],[行ラベル]],0),MATCH($BA$3,年齢階層×在院期間区分F00F01[#Headers],0)),0)</f>
        <v>1</v>
      </c>
      <c r="J9" s="209">
        <f t="shared" si="3"/>
        <v>1.3513513513513514E-2</v>
      </c>
      <c r="K9" s="208">
        <f t="shared" si="4"/>
        <v>97</v>
      </c>
      <c r="L9" s="209">
        <f t="shared" si="5"/>
        <v>3.9559543230016314E-2</v>
      </c>
      <c r="O9" s="54" t="s">
        <v>9</v>
      </c>
      <c r="P9" s="66">
        <v>157</v>
      </c>
      <c r="Q9" s="66">
        <v>103</v>
      </c>
      <c r="R9" s="66">
        <v>174</v>
      </c>
      <c r="S9" s="66">
        <v>193</v>
      </c>
      <c r="T9" s="66">
        <v>126</v>
      </c>
      <c r="U9" s="66">
        <v>105</v>
      </c>
      <c r="V9" s="66">
        <v>142</v>
      </c>
      <c r="W9" s="66">
        <v>76</v>
      </c>
      <c r="X9" s="66">
        <v>67</v>
      </c>
      <c r="Y9" s="66">
        <v>29</v>
      </c>
      <c r="Z9" s="66">
        <v>15</v>
      </c>
      <c r="AA9" s="66">
        <v>19</v>
      </c>
      <c r="AB9" s="66">
        <v>18</v>
      </c>
      <c r="AC9" s="66">
        <v>9</v>
      </c>
      <c r="AD9" s="66">
        <v>24</v>
      </c>
      <c r="AE9" s="66">
        <v>2</v>
      </c>
      <c r="AK9" s="54" t="s">
        <v>7</v>
      </c>
      <c r="AL9" s="67"/>
      <c r="AM9" s="67"/>
      <c r="AO9" s="81"/>
    </row>
    <row r="10" spans="2:53" s="22" customFormat="1" ht="18.75" customHeight="1" x14ac:dyDescent="0.15">
      <c r="B10" s="230" t="s">
        <v>8</v>
      </c>
      <c r="C10" s="232">
        <f>IFERROR(INDEX(年齢階層×在院期間区分F00F01[#All],MATCH($AK10,年齢階層×在院期間区分F00F01[[#All],[行ラベル]],0),MATCH($AL$3,年齢階層×在院期間区分F00F01[#Headers],0)),0)+IFERROR(INDEX(年齢階層×在院期間区分F00F01[#All],MATCH($AK10,年齢階層×在院期間区分F00F01[[#All],[行ラベル]],0),MATCH($AM$3,年齢階層×在院期間区分F00F01[#Headers],0)),0)+IFERROR(INDEX(年齢階層×在院期間区分F00F01[#All],MATCH($AK10,年齢階層×在院期間区分F00F01[[#All],[行ラベル]],0),MATCH($AN$3,年齢階層×在院期間区分F00F01[#Headers],0)),0)+IFERROR(INDEX(年齢階層×在院期間区分F00F01[#All],MATCH($AK10,年齢階層×在院期間区分F00F01[[#All],[行ラベル]],0),MATCH($AO$3,年齢階層×在院期間区分F00F01[#Headers],0)),0)</f>
        <v>336</v>
      </c>
      <c r="D10" s="209">
        <f t="shared" si="0"/>
        <v>0.28093645484949831</v>
      </c>
      <c r="E10" s="231">
        <f>IFERROR(INDEX(年齢階層×在院期間区分F00F01[#All],MATCH($AK10,年齢階層×在院期間区分F00F01[[#All],[行ラベル]],0),MATCH($AP$3,年齢階層×在院期間区分F00F01[#Headers],0)),0)+IFERROR(INDEX(年齢階層×在院期間区分F00F01[#All],MATCH($AK10,年齢階層×在院期間区分F00F01[[#All],[行ラベル]],0),MATCH($AQ$3,年齢階層×在院期間区分F00F01[#Headers],0)),0)+IFERROR(INDEX(年齢階層×在院期間区分F00F01[#All],MATCH($AK10,年齢階層×在院期間区分F00F01[[#All],[行ラベル]],0),MATCH($AR$3,年齢階層×在院期間区分F00F01[#Headers],0)),0)+IFERROR(INDEX(年齢階層×在院期間区分F00F01[#All],MATCH($AK10,年齢階層×在院期間区分F00F01[[#All],[行ラベル]],0),MATCH($AS$3,年齢階層×在院期間区分F00F01[#Headers],0)),0)+IFERROR(INDEX(年齢階層×在院期間区分F00F01[#All],MATCH($AK10,年齢階層×在院期間区分F00F01[[#All],[行ラベル]],0),MATCH($AT$3,年齢階層×在院期間区分F00F01[#Headers],0)),0)</f>
        <v>244</v>
      </c>
      <c r="F10" s="209">
        <f t="shared" si="1"/>
        <v>0.24375624375624375</v>
      </c>
      <c r="G10" s="231">
        <f>IFERROR(INDEX(年齢階層×在院期間区分F00F01[#All],MATCH($AK10,年齢階層×在院期間区分F00F01[[#All],[行ラベル]],0),MATCH($AU$3,年齢階層×在院期間区分F00F01[#Headers],0)),0)+IFERROR(INDEX(年齢階層×在院期間区分F00F01[#All],MATCH($AK10,年齢階層×在院期間区分F00F01[[#All],[行ラベル]],0),MATCH($AV$3,年齢階層×在院期間区分F00F01[#Headers],0)),0)+IFERROR(INDEX(年齢階層×在院期間区分F00F01[#All],MATCH($AK10,年齢階層×在院期間区分F00F01[[#All],[行ラベル]],0),MATCH($AW$3,年齢階層×在院期間区分F00F01[#Headers],0)),0)+IFERROR(INDEX(年齢階層×在院期間区分F00F01[#All],MATCH($AK10,年齢階層×在院期間区分F00F01[[#All],[行ラベル]],0),MATCH($AX$3,年齢階層×在院期間区分F00F01[#Headers],0)),0)+IFERROR(INDEX(年齢階層×在院期間区分F00F01[#All],MATCH($AK10,年齢階層×在院期間区分F00F01[[#All],[行ラベル]],0),MATCH($AY$3,年齢階層×在院期間区分F00F01[#Headers],0)),0)</f>
        <v>40</v>
      </c>
      <c r="H10" s="209">
        <f t="shared" si="2"/>
        <v>0.22099447513812154</v>
      </c>
      <c r="I10" s="208">
        <f>IFERROR(INDEX(年齢階層×在院期間区分F00F01[#All],MATCH($AK10,年齢階層×在院期間区分F00F01[[#All],[行ラベル]],0),MATCH($AZ$3,年齢階層×在院期間区分F00F01[#Headers],0)),0)+IFERROR(INDEX(年齢階層×在院期間区分F00F01[#All],MATCH($AK10,年齢階層×在院期間区分F00F01[[#All],[行ラベル]],0),MATCH($BA$3,年齢階層×在院期間区分F00F01[#Headers],0)),0)</f>
        <v>26</v>
      </c>
      <c r="J10" s="209">
        <f t="shared" si="3"/>
        <v>0.35135135135135137</v>
      </c>
      <c r="K10" s="208">
        <f t="shared" si="4"/>
        <v>646</v>
      </c>
      <c r="L10" s="209">
        <f t="shared" si="5"/>
        <v>0.2634584013050571</v>
      </c>
      <c r="O10" s="54" t="s">
        <v>10</v>
      </c>
      <c r="P10" s="66">
        <v>37</v>
      </c>
      <c r="Q10" s="66">
        <v>33</v>
      </c>
      <c r="R10" s="66">
        <v>44</v>
      </c>
      <c r="S10" s="66">
        <v>56</v>
      </c>
      <c r="T10" s="66">
        <v>27</v>
      </c>
      <c r="U10" s="66">
        <v>42</v>
      </c>
      <c r="V10" s="66">
        <v>51</v>
      </c>
      <c r="W10" s="66">
        <v>31</v>
      </c>
      <c r="X10" s="66">
        <v>37</v>
      </c>
      <c r="Y10" s="66">
        <v>12</v>
      </c>
      <c r="Z10" s="66">
        <v>9</v>
      </c>
      <c r="AA10" s="66">
        <v>12</v>
      </c>
      <c r="AB10" s="66">
        <v>4</v>
      </c>
      <c r="AC10" s="66">
        <v>5</v>
      </c>
      <c r="AD10" s="66">
        <v>16</v>
      </c>
      <c r="AE10" s="66">
        <v>1</v>
      </c>
      <c r="AK10" s="54" t="s">
        <v>8</v>
      </c>
      <c r="AL10" s="67"/>
      <c r="AM10" s="67"/>
      <c r="AO10" s="81"/>
    </row>
    <row r="11" spans="2:53" s="22" customFormat="1" ht="18.75" customHeight="1" x14ac:dyDescent="0.15">
      <c r="B11" s="230" t="s">
        <v>9</v>
      </c>
      <c r="C11" s="208">
        <f>IFERROR(INDEX(年齢階層×在院期間区分F00F01[#All],MATCH($AK11,年齢階層×在院期間区分F00F01[[#All],[行ラベル]],0),MATCH($AL$3,年齢階層×在院期間区分F00F01[#Headers],0)),0)+IFERROR(INDEX(年齢階層×在院期間区分F00F01[#All],MATCH($AK11,年齢階層×在院期間区分F00F01[[#All],[行ラベル]],0),MATCH($AM$3,年齢階層×在院期間区分F00F01[#Headers],0)),0)+IFERROR(INDEX(年齢階層×在院期間区分F00F01[#All],MATCH($AK11,年齢階層×在院期間区分F00F01[[#All],[行ラベル]],0),MATCH($AN$3,年齢階層×在院期間区分F00F01[#Headers],0)),0)+IFERROR(INDEX(年齢階層×在院期間区分F00F01[#All],MATCH($AK11,年齢階層×在院期間区分F00F01[[#All],[行ラベル]],0),MATCH($AO$3,年齢階層×在院期間区分F00F01[#Headers],0)),0)</f>
        <v>627</v>
      </c>
      <c r="D11" s="209">
        <f t="shared" si="0"/>
        <v>0.52424749163879603</v>
      </c>
      <c r="E11" s="231">
        <f>IFERROR(INDEX(年齢階層×在院期間区分F00F01[#All],MATCH($AK11,年齢階層×在院期間区分F00F01[[#All],[行ラベル]],0),MATCH($AP$3,年齢階層×在院期間区分F00F01[#Headers],0)),0)+IFERROR(INDEX(年齢階層×在院期間区分F00F01[#All],MATCH($AK11,年齢階層×在院期間区分F00F01[[#All],[行ラベル]],0),MATCH($AQ$3,年齢階層×在院期間区分F00F01[#Headers],0)),0)+IFERROR(INDEX(年齢階層×在院期間区分F00F01[#All],MATCH($AK11,年齢階層×在院期間区分F00F01[[#All],[行ラベル]],0),MATCH($AR$3,年齢階層×在院期間区分F00F01[#Headers],0)),0)+IFERROR(INDEX(年齢階層×在院期間区分F00F01[#All],MATCH($AK11,年齢階層×在院期間区分F00F01[[#All],[行ラベル]],0),MATCH($AS$3,年齢階層×在院期間区分F00F01[#Headers],0)),0)+IFERROR(INDEX(年齢階層×在院期間区分F00F01[#All],MATCH($AK11,年齢階層×在院期間区分F00F01[[#All],[行ラベル]],0),MATCH($AT$3,年齢階層×在院期間区分F00F01[#Headers],0)),0)</f>
        <v>516</v>
      </c>
      <c r="F11" s="209">
        <f t="shared" si="1"/>
        <v>0.51548451548451546</v>
      </c>
      <c r="G11" s="231">
        <f>IFERROR(INDEX(年齢階層×在院期間区分F00F01[#All],MATCH($AK11,年齢階層×在院期間区分F00F01[[#All],[行ラベル]],0),MATCH($AU$3,年齢階層×在院期間区分F00F01[#Headers],0)),0)+IFERROR(INDEX(年齢階層×在院期間区分F00F01[#All],MATCH($AK11,年齢階層×在院期間区分F00F01[[#All],[行ラベル]],0),MATCH($AV$3,年齢階層×在院期間区分F00F01[#Headers],0)),0)+IFERROR(INDEX(年齢階層×在院期間区分F00F01[#All],MATCH($AK11,年齢階層×在院期間区分F00F01[[#All],[行ラベル]],0),MATCH($AW$3,年齢階層×在院期間区分F00F01[#Headers],0)),0)+IFERROR(INDEX(年齢階層×在院期間区分F00F01[#All],MATCH($AK11,年齢階層×在院期間区分F00F01[[#All],[行ラベル]],0),MATCH($AX$3,年齢階層×在院期間区分F00F01[#Headers],0)),0)+IFERROR(INDEX(年齢階層×在院期間区分F00F01[#All],MATCH($AK11,年齢階層×在院期間区分F00F01[[#All],[行ラベル]],0),MATCH($AY$3,年齢階層×在院期間区分F00F01[#Headers],0)),0)</f>
        <v>90</v>
      </c>
      <c r="H11" s="209">
        <f t="shared" si="2"/>
        <v>0.49723756906077349</v>
      </c>
      <c r="I11" s="232">
        <f>IFERROR(INDEX(年齢階層×在院期間区分F00F01[#All],MATCH($AK11,年齢階層×在院期間区分F00F01[[#All],[行ラベル]],0),MATCH($AZ$3,年齢階層×在院期間区分F00F01[#Headers],0)),0)+IFERROR(INDEX(年齢階層×在院期間区分F00F01[#All],MATCH($AK11,年齢階層×在院期間区分F00F01[[#All],[行ラベル]],0),MATCH($BA$3,年齢階層×在院期間区分F00F01[#Headers],0)),0)</f>
        <v>26</v>
      </c>
      <c r="J11" s="209">
        <f t="shared" si="3"/>
        <v>0.35135135135135137</v>
      </c>
      <c r="K11" s="208">
        <f t="shared" si="4"/>
        <v>1259</v>
      </c>
      <c r="L11" s="209">
        <f t="shared" si="5"/>
        <v>0.51345840130505704</v>
      </c>
      <c r="O11" s="54"/>
      <c r="P11" s="66"/>
      <c r="Q11" s="66"/>
      <c r="R11" s="66"/>
      <c r="S11" s="66"/>
      <c r="T11" s="66"/>
      <c r="U11" s="66"/>
      <c r="V11" s="66"/>
      <c r="W11" s="66"/>
      <c r="X11" s="66"/>
      <c r="Y11" s="66"/>
      <c r="Z11" s="66"/>
      <c r="AA11" s="66"/>
      <c r="AB11" s="66"/>
      <c r="AC11" s="66"/>
      <c r="AD11" s="66"/>
      <c r="AE11" s="66"/>
      <c r="AK11" s="54" t="s">
        <v>9</v>
      </c>
      <c r="AL11" s="67"/>
      <c r="AM11" s="67"/>
      <c r="AO11" s="81"/>
    </row>
    <row r="12" spans="2:53" s="22" customFormat="1" ht="18.75" customHeight="1" thickBot="1" x14ac:dyDescent="0.2">
      <c r="B12" s="233" t="s">
        <v>10</v>
      </c>
      <c r="C12" s="234">
        <f>IFERROR(INDEX(年齢階層×在院期間区分F00F01[#All],MATCH($AK12,年齢階層×在院期間区分F00F01[[#All],[行ラベル]],0),MATCH($AL$3,年齢階層×在院期間区分F00F01[#Headers],0)),0)+IFERROR(INDEX(年齢階層×在院期間区分F00F01[#All],MATCH($AK12,年齢階層×在院期間区分F00F01[[#All],[行ラベル]],0),MATCH($AM$3,年齢階層×在院期間区分F00F01[#Headers],0)),0)+IFERROR(INDEX(年齢階層×在院期間区分F00F01[#All],MATCH($AK12,年齢階層×在院期間区分F00F01[[#All],[行ラベル]],0),MATCH($AN$3,年齢階層×在院期間区分F00F01[#Headers],0)),0)+IFERROR(INDEX(年齢階層×在院期間区分F00F01[#All],MATCH($AK12,年齢階層×在院期間区分F00F01[[#All],[行ラベル]],0),MATCH($AO$3,年齢階層×在院期間区分F00F01[#Headers],0)),0)</f>
        <v>170</v>
      </c>
      <c r="D12" s="225">
        <f t="shared" si="0"/>
        <v>0.14214046822742474</v>
      </c>
      <c r="E12" s="211">
        <f>IFERROR(INDEX(年齢階層×在院期間区分F00F01[#All],MATCH($AK12,年齢階層×在院期間区分F00F01[[#All],[行ラベル]],0),MATCH($AP$3,年齢階層×在院期間区分F00F01[#Headers],0)),0)+IFERROR(INDEX(年齢階層×在院期間区分F00F01[#All],MATCH($AK12,年齢階層×在院期間区分F00F01[[#All],[行ラベル]],0),MATCH($AQ$3,年齢階層×在院期間区分F00F01[#Headers],0)),0)+IFERROR(INDEX(年齢階層×在院期間区分F00F01[#All],MATCH($AK12,年齢階層×在院期間区分F00F01[[#All],[行ラベル]],0),MATCH($AR$3,年齢階層×在院期間区分F00F01[#Headers],0)),0)+IFERROR(INDEX(年齢階層×在院期間区分F00F01[#All],MATCH($AK12,年齢階層×在院期間区分F00F01[[#All],[行ラベル]],0),MATCH($AS$3,年齢階層×在院期間区分F00F01[#Headers],0)),0)+IFERROR(INDEX(年齢階層×在院期間区分F00F01[#All],MATCH($AK12,年齢階層×在院期間区分F00F01[[#All],[行ラベル]],0),MATCH($AT$3,年齢階層×在院期間区分F00F01[#Headers],0)),0)</f>
        <v>188</v>
      </c>
      <c r="F12" s="225">
        <f t="shared" si="1"/>
        <v>0.18781218781218781</v>
      </c>
      <c r="G12" s="211">
        <f>IFERROR(INDEX(年齢階層×在院期間区分F00F01[#All],MATCH($AK12,年齢階層×在院期間区分F00F01[[#All],[行ラベル]],0),MATCH($AU$3,年齢階層×在院期間区分F00F01[#Headers],0)),0)+IFERROR(INDEX(年齢階層×在院期間区分F00F01[#All],MATCH($AK12,年齢階層×在院期間区分F00F01[[#All],[行ラベル]],0),MATCH($AV$3,年齢階層×在院期間区分F00F01[#Headers],0)),0)+IFERROR(INDEX(年齢階層×在院期間区分F00F01[#All],MATCH($AK12,年齢階層×在院期間区分F00F01[[#All],[行ラベル]],0),MATCH($AW$3,年齢階層×在院期間区分F00F01[#Headers],0)),0)+IFERROR(INDEX(年齢階層×在院期間区分F00F01[#All],MATCH($AK12,年齢階層×在院期間区分F00F01[[#All],[行ラベル]],0),MATCH($AX$3,年齢階層×在院期間区分F00F01[#Headers],0)),0)+IFERROR(INDEX(年齢階層×在院期間区分F00F01[#All],MATCH($AK12,年齢階層×在院期間区分F00F01[[#All],[行ラベル]],0),MATCH($AY$3,年齢階層×在院期間区分F00F01[#Headers],0)),0)</f>
        <v>42</v>
      </c>
      <c r="H12" s="225">
        <f t="shared" si="2"/>
        <v>0.23204419889502761</v>
      </c>
      <c r="I12" s="211">
        <f>IFERROR(INDEX(年齢階層×在院期間区分F00F01[#All],MATCH($AK12,年齢階層×在院期間区分F00F01[[#All],[行ラベル]],0),MATCH($AZ$3,年齢階層×在院期間区分F00F01[#Headers],0)),0)+IFERROR(INDEX(年齢階層×在院期間区分F00F01[#All],MATCH($AK12,年齢階層×在院期間区分F00F01[[#All],[行ラベル]],0),MATCH($BA$3,年齢階層×在院期間区分F00F01[#Headers],0)),0)</f>
        <v>17</v>
      </c>
      <c r="J12" s="225">
        <f t="shared" si="3"/>
        <v>0.22972972972972974</v>
      </c>
      <c r="K12" s="211">
        <f t="shared" si="4"/>
        <v>417</v>
      </c>
      <c r="L12" s="225">
        <f t="shared" si="5"/>
        <v>0.17006525285481239</v>
      </c>
      <c r="O12" s="54"/>
      <c r="P12" s="66"/>
      <c r="Q12" s="66"/>
      <c r="R12" s="66"/>
      <c r="S12" s="66"/>
      <c r="T12" s="66"/>
      <c r="U12" s="66"/>
      <c r="V12" s="66"/>
      <c r="W12" s="66"/>
      <c r="X12" s="66"/>
      <c r="Y12" s="66"/>
      <c r="Z12" s="66"/>
      <c r="AA12" s="66"/>
      <c r="AB12" s="66"/>
      <c r="AC12" s="66"/>
      <c r="AD12" s="66"/>
      <c r="AE12" s="66"/>
      <c r="AK12" s="54" t="s">
        <v>10</v>
      </c>
      <c r="AL12" s="67"/>
      <c r="AM12" s="67"/>
      <c r="AO12" s="81"/>
    </row>
    <row r="13" spans="2:53" s="22" customFormat="1" ht="18.75" customHeight="1" thickTop="1" thickBot="1" x14ac:dyDescent="0.2">
      <c r="B13" s="235" t="s">
        <v>161</v>
      </c>
      <c r="C13" s="236">
        <f t="shared" ref="C13:L13" si="6">SUM(C4:C12)</f>
        <v>1196</v>
      </c>
      <c r="D13" s="237">
        <f t="shared" si="6"/>
        <v>1</v>
      </c>
      <c r="E13" s="236">
        <f t="shared" si="6"/>
        <v>1001</v>
      </c>
      <c r="F13" s="237">
        <f t="shared" si="6"/>
        <v>0.99999999999999989</v>
      </c>
      <c r="G13" s="236">
        <f t="shared" si="6"/>
        <v>181</v>
      </c>
      <c r="H13" s="237">
        <f t="shared" si="6"/>
        <v>0.99999999999999989</v>
      </c>
      <c r="I13" s="236">
        <f t="shared" si="6"/>
        <v>74</v>
      </c>
      <c r="J13" s="237">
        <f t="shared" si="6"/>
        <v>1.0000000000000002</v>
      </c>
      <c r="K13" s="236">
        <f t="shared" si="6"/>
        <v>2452</v>
      </c>
      <c r="L13" s="237">
        <f t="shared" si="6"/>
        <v>1</v>
      </c>
      <c r="O13" s="429" t="s">
        <v>308</v>
      </c>
      <c r="P13" s="503" t="s">
        <v>182</v>
      </c>
      <c r="Q13" s="503" t="s">
        <v>183</v>
      </c>
      <c r="R13" s="503" t="s">
        <v>184</v>
      </c>
      <c r="S13" s="503" t="s">
        <v>185</v>
      </c>
      <c r="T13" s="503" t="s">
        <v>186</v>
      </c>
      <c r="U13" s="503" t="s">
        <v>187</v>
      </c>
      <c r="V13" s="503" t="s">
        <v>188</v>
      </c>
      <c r="W13" s="503" t="s">
        <v>189</v>
      </c>
      <c r="X13" s="503" t="s">
        <v>190</v>
      </c>
      <c r="Y13" s="503" t="s">
        <v>191</v>
      </c>
      <c r="Z13" s="503" t="s">
        <v>192</v>
      </c>
      <c r="AA13" s="503" t="s">
        <v>193</v>
      </c>
      <c r="AB13" s="503" t="s">
        <v>194</v>
      </c>
      <c r="AC13" s="503" t="s">
        <v>195</v>
      </c>
      <c r="AD13" s="503" t="s">
        <v>196</v>
      </c>
      <c r="AE13" s="56" t="s">
        <v>197</v>
      </c>
      <c r="AK13" s="81"/>
      <c r="AL13" s="81"/>
      <c r="AO13" s="81"/>
    </row>
    <row r="14" spans="2:53" s="22" customFormat="1" ht="18.75" customHeight="1" thickTop="1" x14ac:dyDescent="0.15">
      <c r="B14" s="238" t="s">
        <v>93</v>
      </c>
      <c r="C14" s="239">
        <f>IFERROR(INDEX(年齢階層×在院期間区分F00F01_65歳未満以上[#All],MATCH($AK14,年齢階層×在院期間区分F00F01_65歳未満以上[[#All],[列1]],0),MATCH($AL$3,年齢階層×在院期間区分F00F01_65歳未満以上[#Headers],0)),0)+IFERROR(INDEX(年齢階層×在院期間区分F00F01_65歳未満以上[#All],MATCH($AK14,年齢階層×在院期間区分F00F01_65歳未満以上[[#All],[列1]],0),MATCH($AM$3,年齢階層×在院期間区分F00F01_65歳未満以上[#Headers],0)),0)+IFERROR(INDEX(年齢階層×在院期間区分F00F01_65歳未満以上[#All],MATCH($AK14,年齢階層×在院期間区分F00F01_65歳未満以上[[#All],[列1]],0),MATCH($AN$3,年齢階層×在院期間区分F00F01_65歳未満以上[#Headers],0)),0)+IFERROR(INDEX(年齢階層×在院期間区分F00F01_65歳未満以上[#All],MATCH($AK14,年齢階層×在院期間区分F00F01_65歳未満以上[[#All],[列1]],0),MATCH($AO$3,年齢階層×在院期間区分F00F01_65歳未満以上[#Headers],0)),0)</f>
        <v>27</v>
      </c>
      <c r="D14" s="210">
        <f>IFERROR(C14/$C$13,"-")</f>
        <v>2.25752508361204E-2</v>
      </c>
      <c r="E14" s="239">
        <f>IFERROR(INDEX(年齢階層×在院期間区分F00F01_65歳未満以上[#All],MATCH($AK14,年齢階層×在院期間区分F00F01_65歳未満以上[[#All],[列1]],0),MATCH($AP$3,年齢階層×在院期間区分F00F01_65歳未満以上[#Headers],0)),0)+IFERROR(INDEX(年齢階層×在院期間区分F00F01_65歳未満以上[#All],MATCH($AK14,年齢階層×在院期間区分F00F01_65歳未満以上[[#All],[列1]],0),MATCH($AQ$3,年齢階層×在院期間区分F00F01_65歳未満以上[#Headers],0)),0)+IFERROR(INDEX(年齢階層×在院期間区分F00F01_65歳未満以上[#All],MATCH($AK14,年齢階層×在院期間区分F00F01_65歳未満以上[[#All],[列1]],0),MATCH($AR$3,年齢階層×在院期間区分F00F01_65歳未満以上[#Headers],0)),0)+IFERROR(INDEX(年齢階層×在院期間区分F00F01_65歳未満以上[#All],MATCH($AK14,年齢階層×在院期間区分F00F01_65歳未満以上[[#All],[列1]],0),MATCH($AS$3,年齢階層×在院期間区分F00F01_65歳未満以上[#Headers],0)),0)+IFERROR(INDEX(年齢階層×在院期間区分F00F01_65歳未満以上[#All],MATCH($AK14,年齢階層×在院期間区分F00F01_65歳未満以上[[#All],[列1]],0),MATCH($AT$3,年齢階層×在院期間区分F00F01_65歳未満以上[#Headers],0)),0)</f>
        <v>31</v>
      </c>
      <c r="F14" s="210">
        <f>IFERROR(E14/$E$13,"-")</f>
        <v>3.0969030969030968E-2</v>
      </c>
      <c r="G14" s="239">
        <f>IFERROR(INDEX(年齢階層×在院期間区分F00F01_65歳未満以上[#All],MATCH($AK14,年齢階層×在院期間区分F00F01_65歳未満以上[[#All],[列1]],0),MATCH($AU$3,年齢階層×在院期間区分F00F01_65歳未満以上[#Headers],0)),0)+IFERROR(INDEX(年齢階層×在院期間区分F00F01_65歳未満以上[#All],MATCH($AK14,年齢階層×在院期間区分F00F01_65歳未満以上[[#All],[列1]],0),MATCH($AV$3,年齢階層×在院期間区分F00F01_65歳未満以上[#Headers],0)),0)+IFERROR(INDEX(年齢階層×在院期間区分F00F01_65歳未満以上[#All],MATCH($AK14,年齢階層×在院期間区分F00F01_65歳未満以上[[#All],[列1]],0),MATCH($AW$3,年齢階層×在院期間区分F00F01_65歳未満以上[#Headers],0)),0)+IFERROR(INDEX(年齢階層×在院期間区分F00F01_65歳未満以上[#All],MATCH($AK14,年齢階層×在院期間区分F00F01_65歳未満以上[[#All],[列1]],0),MATCH($AX$3,年齢階層×在院期間区分F00F01_65歳未満以上[#Headers],0)),0)+IFERROR(INDEX(年齢階層×在院期間区分F00F01_65歳未満以上[#All],MATCH($AK14,年齢階層×在院期間区分F00F01_65歳未満以上[[#All],[列1]],0),MATCH($AY$3,年齢階層×在院期間区分F00F01_65歳未満以上[#Headers],0)),0)</f>
        <v>1</v>
      </c>
      <c r="H14" s="210">
        <f>IFERROR(G14/$G$13,"-")</f>
        <v>5.5248618784530384E-3</v>
      </c>
      <c r="I14" s="239">
        <f>IFERROR(INDEX(年齢階層×在院期間区分F00F01_65歳未満以上[#All],MATCH($AK14,年齢階層×在院期間区分F00F01_65歳未満以上[[#All],[列1]],0),MATCH($AZ$3,年齢階層×在院期間区分F00F01_65歳未満以上[#Headers],0)),0)+IFERROR(INDEX(年齢階層×在院期間区分F00F01_65歳未満以上[#All],MATCH($AK14,年齢階層×在院期間区分F00F01_65歳未満以上[[#All],[列1]],0),MATCH($BA$3,年齢階層×在院期間区分F00F01_65歳未満以上[#Headers],0)),0)</f>
        <v>4</v>
      </c>
      <c r="J14" s="210">
        <f>IFERROR(I14/$I$13,"-")</f>
        <v>5.4054054054054057E-2</v>
      </c>
      <c r="K14" s="239">
        <f>SUM(C14,E14,G14,I14)</f>
        <v>63</v>
      </c>
      <c r="L14" s="210">
        <f>IFERROR(K14/$K$13,"-")</f>
        <v>2.569331158238173E-2</v>
      </c>
      <c r="O14" s="54" t="s">
        <v>307</v>
      </c>
      <c r="P14" s="66">
        <v>211</v>
      </c>
      <c r="Q14" s="66">
        <v>292</v>
      </c>
      <c r="R14" s="66">
        <v>313</v>
      </c>
      <c r="S14" s="66">
        <v>353</v>
      </c>
      <c r="T14" s="66">
        <v>216</v>
      </c>
      <c r="U14" s="66">
        <v>196</v>
      </c>
      <c r="V14" s="66">
        <v>269</v>
      </c>
      <c r="W14" s="66">
        <v>154</v>
      </c>
      <c r="X14" s="66">
        <v>135</v>
      </c>
      <c r="Y14" s="66">
        <v>57</v>
      </c>
      <c r="Z14" s="66">
        <v>38</v>
      </c>
      <c r="AA14" s="66">
        <v>37</v>
      </c>
      <c r="AB14" s="66">
        <v>29</v>
      </c>
      <c r="AC14" s="66">
        <v>19</v>
      </c>
      <c r="AD14" s="66">
        <v>59</v>
      </c>
      <c r="AE14" s="66">
        <v>11</v>
      </c>
      <c r="AK14" s="83" t="s">
        <v>156</v>
      </c>
    </row>
    <row r="15" spans="2:53" s="22" customFormat="1" ht="18.75" customHeight="1" x14ac:dyDescent="0.15">
      <c r="B15" s="240" t="s">
        <v>89</v>
      </c>
      <c r="C15" s="239">
        <f>IFERROR(INDEX(年齢階層×在院期間区分F00F01_65歳未満以上[#All],MATCH($AK15,年齢階層×在院期間区分F00F01_65歳未満以上[[#All],[列1]],0),MATCH($AL$3,年齢階層×在院期間区分F00F01_65歳未満以上[#Headers],0)),0)+IFERROR(INDEX(年齢階層×在院期間区分F00F01_65歳未満以上[#All],MATCH($AK15,年齢階層×在院期間区分F00F01_65歳未満以上[[#All],[列1]],0),MATCH($AM$3,年齢階層×在院期間区分F00F01_65歳未満以上[#Headers],0)),0)+IFERROR(INDEX(年齢階層×在院期間区分F00F01_65歳未満以上[#All],MATCH($AK15,年齢階層×在院期間区分F00F01_65歳未満以上[[#All],[列1]],0),MATCH($AN$3,年齢階層×在院期間区分F00F01_65歳未満以上[#Headers],0)),0)+IFERROR(INDEX(年齢階層×在院期間区分F00F01_65歳未満以上[#All],MATCH($AK15,年齢階層×在院期間区分F00F01_65歳未満以上[[#All],[列1]],0),MATCH($AO$3,年齢階層×在院期間区分F00F01_65歳未満以上[#Headers],0)),0)</f>
        <v>1169</v>
      </c>
      <c r="D15" s="241">
        <f>IFERROR(C15/$C$13,"-")</f>
        <v>0.97742474916387956</v>
      </c>
      <c r="E15" s="239">
        <f>IFERROR(INDEX(年齢階層×在院期間区分F00F01_65歳未満以上[#All],MATCH($AK15,年齢階層×在院期間区分F00F01_65歳未満以上[[#All],[列1]],0),MATCH($AP$3,年齢階層×在院期間区分F00F01_65歳未満以上[#Headers],0)),0)+IFERROR(INDEX(年齢階層×在院期間区分F00F01_65歳未満以上[#All],MATCH($AK15,年齢階層×在院期間区分F00F01_65歳未満以上[[#All],[列1]],0),MATCH($AQ$3,年齢階層×在院期間区分F00F01_65歳未満以上[#Headers],0)),0)+IFERROR(INDEX(年齢階層×在院期間区分F00F01_65歳未満以上[#All],MATCH($AK15,年齢階層×在院期間区分F00F01_65歳未満以上[[#All],[列1]],0),MATCH($AR$3,年齢階層×在院期間区分F00F01_65歳未満以上[#Headers],0)),0)+IFERROR(INDEX(年齢階層×在院期間区分F00F01_65歳未満以上[#All],MATCH($AK15,年齢階層×在院期間区分F00F01_65歳未満以上[[#All],[列1]],0),MATCH($AS$3,年齢階層×在院期間区分F00F01_65歳未満以上[#Headers],0)),0)+IFERROR(INDEX(年齢階層×在院期間区分F00F01_65歳未満以上[#All],MATCH($AK15,年齢階層×在院期間区分F00F01_65歳未満以上[[#All],[列1]],0),MATCH($AT$3,年齢階層×在院期間区分F00F01_65歳未満以上[#Headers],0)),0)</f>
        <v>970</v>
      </c>
      <c r="F15" s="241">
        <f>IFERROR(E15/$E$13,"-")</f>
        <v>0.96903096903096908</v>
      </c>
      <c r="G15" s="239">
        <f>IFERROR(INDEX(年齢階層×在院期間区分F00F01_65歳未満以上[#All],MATCH($AK15,年齢階層×在院期間区分F00F01_65歳未満以上[[#All],[列1]],0),MATCH($AU$3,年齢階層×在院期間区分F00F01_65歳未満以上[#Headers],0)),0)+IFERROR(INDEX(年齢階層×在院期間区分F00F01_65歳未満以上[#All],MATCH($AK15,年齢階層×在院期間区分F00F01_65歳未満以上[[#All],[列1]],0),MATCH($AV$3,年齢階層×在院期間区分F00F01_65歳未満以上[#Headers],0)),0)+IFERROR(INDEX(年齢階層×在院期間区分F00F01_65歳未満以上[#All],MATCH($AK15,年齢階層×在院期間区分F00F01_65歳未満以上[[#All],[列1]],0),MATCH($AW$3,年齢階層×在院期間区分F00F01_65歳未満以上[#Headers],0)),0)+IFERROR(INDEX(年齢階層×在院期間区分F00F01_65歳未満以上[#All],MATCH($AK15,年齢階層×在院期間区分F00F01_65歳未満以上[[#All],[列1]],0),MATCH($AX$3,年齢階層×在院期間区分F00F01_65歳未満以上[#Headers],0)),0)+IFERROR(INDEX(年齢階層×在院期間区分F00F01_65歳未満以上[#All],MATCH($AK15,年齢階層×在院期間区分F00F01_65歳未満以上[[#All],[列1]],0),MATCH($AY$3,年齢階層×在院期間区分F00F01_65歳未満以上[#Headers],0)),0)</f>
        <v>180</v>
      </c>
      <c r="H15" s="241">
        <f>IFERROR(G15/$G$13,"-")</f>
        <v>0.99447513812154698</v>
      </c>
      <c r="I15" s="239">
        <f>IFERROR(INDEX(年齢階層×在院期間区分F00F01_65歳未満以上[#All],MATCH($AK15,年齢階層×在院期間区分F00F01_65歳未満以上[[#All],[列1]],0),MATCH($AZ$3,年齢階層×在院期間区分F00F01_65歳未満以上[#Headers],0)),0)+IFERROR(INDEX(年齢階層×在院期間区分F00F01_65歳未満以上[#All],MATCH($AK15,年齢階層×在院期間区分F00F01_65歳未満以上[[#All],[列1]],0),MATCH($BA$3,年齢階層×在院期間区分F00F01_65歳未満以上[#Headers],0)),0)</f>
        <v>70</v>
      </c>
      <c r="J15" s="241">
        <f>IFERROR(I15/$I$13,"-")</f>
        <v>0.94594594594594594</v>
      </c>
      <c r="K15" s="239">
        <f>C15+E15+G15+I15</f>
        <v>2389</v>
      </c>
      <c r="L15" s="241">
        <f>IFERROR(K15/$K$13,"-")</f>
        <v>0.97430668841761825</v>
      </c>
      <c r="O15" s="83" t="s">
        <v>306</v>
      </c>
      <c r="P15" s="66">
        <v>9</v>
      </c>
      <c r="Q15" s="66">
        <v>4</v>
      </c>
      <c r="R15" s="66">
        <v>5</v>
      </c>
      <c r="S15" s="66">
        <v>9</v>
      </c>
      <c r="T15" s="66">
        <v>5</v>
      </c>
      <c r="U15" s="66">
        <v>9</v>
      </c>
      <c r="V15" s="66">
        <v>7</v>
      </c>
      <c r="W15" s="66">
        <v>8</v>
      </c>
      <c r="X15" s="66">
        <v>2</v>
      </c>
      <c r="Y15" s="66">
        <v>0</v>
      </c>
      <c r="Z15" s="66">
        <v>0</v>
      </c>
      <c r="AA15" s="66">
        <v>0</v>
      </c>
      <c r="AB15" s="66">
        <v>1</v>
      </c>
      <c r="AC15" s="66">
        <v>0</v>
      </c>
      <c r="AD15" s="66">
        <v>3</v>
      </c>
      <c r="AE15" s="66">
        <v>1</v>
      </c>
      <c r="AK15" s="83" t="s">
        <v>88</v>
      </c>
    </row>
    <row r="16" spans="2:53" ht="18.75" customHeight="1" x14ac:dyDescent="0.15"/>
    <row r="17" spans="2:41" ht="18.75" customHeight="1" x14ac:dyDescent="0.15">
      <c r="B17" s="2" t="s">
        <v>164</v>
      </c>
    </row>
    <row r="18" spans="2:41" ht="18.75" customHeight="1" thickBot="1" x14ac:dyDescent="0.2">
      <c r="B18" s="714" t="s">
        <v>65</v>
      </c>
      <c r="C18" s="716" t="s">
        <v>64</v>
      </c>
      <c r="D18" s="717"/>
      <c r="E18" s="717"/>
      <c r="F18" s="717"/>
      <c r="G18" s="717"/>
      <c r="H18" s="717"/>
      <c r="I18" s="717"/>
      <c r="J18" s="717"/>
      <c r="K18" s="717"/>
      <c r="L18" s="718"/>
      <c r="O18" s="34" t="s">
        <v>63</v>
      </c>
    </row>
    <row r="19" spans="2:41" ht="18.75" customHeight="1" thickTop="1" thickBot="1" x14ac:dyDescent="0.2">
      <c r="B19" s="715"/>
      <c r="C19" s="719" t="s">
        <v>69</v>
      </c>
      <c r="D19" s="720"/>
      <c r="E19" s="719" t="s">
        <v>70</v>
      </c>
      <c r="F19" s="720"/>
      <c r="G19" s="719" t="s">
        <v>71</v>
      </c>
      <c r="H19" s="720"/>
      <c r="I19" s="719" t="s">
        <v>72</v>
      </c>
      <c r="J19" s="720"/>
      <c r="K19" s="719" t="s">
        <v>62</v>
      </c>
      <c r="L19" s="720"/>
      <c r="O19" s="429" t="s">
        <v>370</v>
      </c>
      <c r="P19" s="503" t="s">
        <v>183</v>
      </c>
      <c r="Q19" s="503" t="s">
        <v>182</v>
      </c>
      <c r="R19" s="503" t="s">
        <v>184</v>
      </c>
      <c r="S19" s="503" t="s">
        <v>185</v>
      </c>
      <c r="T19" s="503" t="s">
        <v>186</v>
      </c>
      <c r="U19" s="503" t="s">
        <v>187</v>
      </c>
      <c r="V19" s="503" t="s">
        <v>188</v>
      </c>
      <c r="W19" s="503" t="s">
        <v>189</v>
      </c>
      <c r="X19" s="503" t="s">
        <v>190</v>
      </c>
      <c r="Y19" s="487" t="s">
        <v>192</v>
      </c>
      <c r="Z19" s="487" t="s">
        <v>194</v>
      </c>
      <c r="AA19" s="503" t="s">
        <v>196</v>
      </c>
      <c r="AB19" s="503" t="s">
        <v>363</v>
      </c>
      <c r="AC19" s="503" t="s">
        <v>364</v>
      </c>
      <c r="AD19" s="503" t="s">
        <v>365</v>
      </c>
      <c r="AE19" s="56" t="s">
        <v>368</v>
      </c>
    </row>
    <row r="20" spans="2:41" s="22" customFormat="1" ht="18.75" customHeight="1" thickTop="1" x14ac:dyDescent="0.15">
      <c r="B20" s="228" t="s">
        <v>2</v>
      </c>
      <c r="C20" s="229">
        <f>IFERROR(INDEX(年齢階層×在院期間区分F00F01＿寛解・院内寛解[#All],MATCH($AK4,年齢階層×在院期間区分F00F01＿寛解・院内寛解[[#All],[行ラベル]],0),MATCH($AL$3,年齢階層×在院期間区分F00F01＿寛解・院内寛解[#Headers],0)),0)+IFERROR(INDEX(年齢階層×在院期間区分F00F01＿寛解・院内寛解[#All],MATCH($AK4,年齢階層×在院期間区分F00F01＿寛解・院内寛解[[#All],[行ラベル]],0),MATCH($AM$3,年齢階層×在院期間区分F00F01＿寛解・院内寛解[#Headers],0)),0)+IFERROR(INDEX(年齢階層×在院期間区分F00F01＿寛解・院内寛解[#All],MATCH($AK4,年齢階層×在院期間区分F00F01＿寛解・院内寛解[[#All],[行ラベル]],0),MATCH($AN$3,年齢階層×在院期間区分F00F01＿寛解・院内寛解[#Headers],0)),0)+IFERROR(INDEX(年齢階層×在院期間区分F00F01＿寛解・院内寛解[#All],MATCH($AK4,年齢階層×在院期間区分F00F01＿寛解・院内寛解[[#All],[行ラベル]],0),MATCH($AO$3,年齢階層×在院期間区分F00F01＿寛解・院内寛解[#Headers],0)),0)</f>
        <v>0</v>
      </c>
      <c r="D20" s="242">
        <f t="shared" ref="D20:D28" si="7">IFERROR(C20/$C$29,"-")</f>
        <v>0</v>
      </c>
      <c r="E20" s="229">
        <f>IFERROR(INDEX(年齢階層×在院期間区分F00F01＿寛解・院内寛解[#All],MATCH($AK4,年齢階層×在院期間区分F00F01＿寛解・院内寛解[[#All],[行ラベル]],0),MATCH($AP$3,年齢階層×在院期間区分F00F01＿寛解・院内寛解[#Headers],0)),0)+IFERROR(INDEX(年齢階層×在院期間区分F00F01＿寛解・院内寛解[#All],MATCH($AK4,年齢階層×在院期間区分F00F01＿寛解・院内寛解[[#All],[行ラベル]],0),MATCH($AQ$3,年齢階層×在院期間区分F00F01＿寛解・院内寛解[#Headers],0)),0)+IFERROR(INDEX(年齢階層×在院期間区分F00F01＿寛解・院内寛解[#All],MATCH($AK4,年齢階層×在院期間区分F00F01＿寛解・院内寛解[[#All],[行ラベル]],0),MATCH($AR$3,年齢階層×在院期間区分F00F01＿寛解・院内寛解[#Headers],0)),0)+IFERROR(INDEX(年齢階層×在院期間区分F00F01＿寛解・院内寛解[#All],MATCH($AK4,年齢階層×在院期間区分F00F01＿寛解・院内寛解[[#All],[行ラベル]],0),MATCH($AS$3,年齢階層×在院期間区分F00F01＿寛解・院内寛解[#Headers],0)),0)+IFERROR(INDEX(年齢階層×在院期間区分F00F01＿寛解・院内寛解[#All],MATCH($AK4,年齢階層×在院期間区分F00F01＿寛解・院内寛解[[#All],[行ラベル]],0),MATCH($AT$3,年齢階層×在院期間区分F00F01＿寛解・院内寛解[#Headers],0)),0)</f>
        <v>0</v>
      </c>
      <c r="F20" s="242">
        <f t="shared" ref="F20:F28" si="8">IFERROR(E20/$E$29,"-")</f>
        <v>0</v>
      </c>
      <c r="G20" s="223">
        <f>IFERROR(INDEX(年齢階層×在院期間区分F00F01＿寛解・院内寛解[#All],MATCH($AK4,年齢階層×在院期間区分F00F01＿寛解・院内寛解[[#All],[行ラベル]],0),MATCH($AU$3,年齢階層×在院期間区分F00F01＿寛解・院内寛解[#Headers],0)),0)+IFERROR(INDEX(年齢階層×在院期間区分F00F01＿寛解・院内寛解[#All],MATCH($AK4,年齢階層×在院期間区分F00F01＿寛解・院内寛解[[#All],[行ラベル]],0),MATCH($AV$3,年齢階層×在院期間区分F00F01＿寛解・院内寛解[#Headers],0)),0)+IFERROR(INDEX(年齢階層×在院期間区分F00F01＿寛解・院内寛解[#All],MATCH($AK4,年齢階層×在院期間区分F00F01＿寛解・院内寛解[[#All],[行ラベル]],0),MATCH($AW$3,年齢階層×在院期間区分F00F01＿寛解・院内寛解[#Headers],0)),0)+IFERROR(INDEX(年齢階層×在院期間区分F00F01＿寛解・院内寛解[#All],MATCH($AK4,年齢階層×在院期間区分F00F01＿寛解・院内寛解[[#All],[行ラベル]],0),MATCH($AX$3,年齢階層×在院期間区分F00F01＿寛解・院内寛解[#Headers],0)),0)+IFERROR(INDEX(年齢階層×在院期間区分F00F01＿寛解・院内寛解[#All],MATCH($AK4,年齢階層×在院期間区分F00F01＿寛解・院内寛解[[#All],[行ラベル]],0),MATCH($AY$3,年齢階層×在院期間区分F00F01＿寛解・院内寛解[#Headers],0)),0)</f>
        <v>0</v>
      </c>
      <c r="H20" s="242">
        <f t="shared" ref="H20:H28" si="9">IFERROR(G20/$G$29,"-")</f>
        <v>0</v>
      </c>
      <c r="I20" s="229">
        <f>IFERROR(INDEX(年齢階層×在院期間区分F00F01＿寛解・院内寛解[#All],MATCH($AK4,年齢階層×在院期間区分F00F01＿寛解・院内寛解[[#All],[行ラベル]],0),MATCH($AZ$3,年齢階層×在院期間区分F00F01＿寛解・院内寛解[#Headers],0)),0)+IFERROR(INDEX(年齢階層×在院期間区分F00F01＿寛解・院内寛解[#All],MATCH($AK4,年齢階層×在院期間区分F00F01＿寛解・院内寛解[[#All],[行ラベル]],0),MATCH($BA$3,年齢階層×在院期間区分F00F01＿寛解・院内寛解[#Headers],0)),0)</f>
        <v>0</v>
      </c>
      <c r="J20" s="242">
        <f t="shared" ref="J20:J28" si="10">IFERROR(I20/$I$29,"-")</f>
        <v>0</v>
      </c>
      <c r="K20" s="223">
        <f t="shared" ref="K20:K28" si="11">SUM(C20,E20,G20,I20)</f>
        <v>0</v>
      </c>
      <c r="L20" s="242">
        <f t="shared" ref="L20:L28" si="12">IFERROR(K20/$K$29,"-")</f>
        <v>0</v>
      </c>
      <c r="O20" s="54" t="s">
        <v>5</v>
      </c>
      <c r="P20" s="66"/>
      <c r="Q20" s="66">
        <v>1</v>
      </c>
      <c r="R20" s="66"/>
      <c r="S20" s="66"/>
      <c r="T20" s="66"/>
      <c r="U20" s="66"/>
      <c r="V20" s="66"/>
      <c r="W20" s="66"/>
      <c r="X20" s="66"/>
      <c r="Y20" s="66"/>
      <c r="Z20" s="66"/>
      <c r="AA20" s="66"/>
      <c r="AB20" s="66"/>
      <c r="AC20" s="66"/>
      <c r="AD20" s="66"/>
      <c r="AE20" s="66"/>
      <c r="AK20" s="54" t="s">
        <v>2</v>
      </c>
    </row>
    <row r="21" spans="2:41" s="22" customFormat="1" ht="18.75" customHeight="1" x14ac:dyDescent="0.15">
      <c r="B21" s="230" t="s">
        <v>3</v>
      </c>
      <c r="C21" s="231">
        <f>IFERROR(INDEX(年齢階層×在院期間区分F00F01＿寛解・院内寛解[#All],MATCH($AK5,年齢階層×在院期間区分F00F01＿寛解・院内寛解[[#All],[行ラベル]],0),MATCH($AL$3,年齢階層×在院期間区分F00F01＿寛解・院内寛解[#Headers],0)),0)+IFERROR(INDEX(年齢階層×在院期間区分F00F01＿寛解・院内寛解[#All],MATCH($AK5,年齢階層×在院期間区分F00F01＿寛解・院内寛解[[#All],[行ラベル]],0),MATCH($AM$3,年齢階層×在院期間区分F00F01＿寛解・院内寛解[#Headers],0)),0)+IFERROR(INDEX(年齢階層×在院期間区分F00F01＿寛解・院内寛解[#All],MATCH($AK5,年齢階層×在院期間区分F00F01＿寛解・院内寛解[[#All],[行ラベル]],0),MATCH($AN$3,年齢階層×在院期間区分F00F01＿寛解・院内寛解[#Headers],0)),0)+IFERROR(INDEX(年齢階層×在院期間区分F00F01＿寛解・院内寛解[#All],MATCH($AK5,年齢階層×在院期間区分F00F01＿寛解・院内寛解[[#All],[行ラベル]],0),MATCH($AO$3,年齢階層×在院期間区分F00F01＿寛解・院内寛解[#Headers],0)),0)</f>
        <v>0</v>
      </c>
      <c r="D21" s="209">
        <f t="shared" si="7"/>
        <v>0</v>
      </c>
      <c r="E21" s="231">
        <f>IFERROR(INDEX(年齢階層×在院期間区分F00F01＿寛解・院内寛解[#All],MATCH($AK5,年齢階層×在院期間区分F00F01＿寛解・院内寛解[[#All],[行ラベル]],0),MATCH($AP$3,年齢階層×在院期間区分F00F01＿寛解・院内寛解[#Headers],0)),0)+IFERROR(INDEX(年齢階層×在院期間区分F00F01＿寛解・院内寛解[#All],MATCH($AK5,年齢階層×在院期間区分F00F01＿寛解・院内寛解[[#All],[行ラベル]],0),MATCH($AQ$3,年齢階層×在院期間区分F00F01＿寛解・院内寛解[#Headers],0)),0)+IFERROR(INDEX(年齢階層×在院期間区分F00F01＿寛解・院内寛解[#All],MATCH($AK5,年齢階層×在院期間区分F00F01＿寛解・院内寛解[[#All],[行ラベル]],0),MATCH($AR$3,年齢階層×在院期間区分F00F01＿寛解・院内寛解[#Headers],0)),0)+IFERROR(INDEX(年齢階層×在院期間区分F00F01＿寛解・院内寛解[#All],MATCH($AK5,年齢階層×在院期間区分F00F01＿寛解・院内寛解[[#All],[行ラベル]],0),MATCH($AS$3,年齢階層×在院期間区分F00F01＿寛解・院内寛解[#Headers],0)),0)+IFERROR(INDEX(年齢階層×在院期間区分F00F01＿寛解・院内寛解[#All],MATCH($AK5,年齢階層×在院期間区分F00F01＿寛解・院内寛解[[#All],[行ラベル]],0),MATCH($AT$3,年齢階層×在院期間区分F00F01＿寛解・院内寛解[#Headers],0)),0)</f>
        <v>0</v>
      </c>
      <c r="F21" s="209">
        <f t="shared" si="8"/>
        <v>0</v>
      </c>
      <c r="G21" s="208">
        <f>IFERROR(INDEX(年齢階層×在院期間区分F00F01＿寛解・院内寛解[#All],MATCH($AK5,年齢階層×在院期間区分F00F01＿寛解・院内寛解[[#All],[行ラベル]],0),MATCH($AU$3,年齢階層×在院期間区分F00F01＿寛解・院内寛解[#Headers],0)),0)+IFERROR(INDEX(年齢階層×在院期間区分F00F01＿寛解・院内寛解[#All],MATCH($AK5,年齢階層×在院期間区分F00F01＿寛解・院内寛解[[#All],[行ラベル]],0),MATCH($AV$3,年齢階層×在院期間区分F00F01＿寛解・院内寛解[#Headers],0)),0)+IFERROR(INDEX(年齢階層×在院期間区分F00F01＿寛解・院内寛解[#All],MATCH($AK5,年齢階層×在院期間区分F00F01＿寛解・院内寛解[[#All],[行ラベル]],0),MATCH($AW$3,年齢階層×在院期間区分F00F01＿寛解・院内寛解[#Headers],0)),0)+IFERROR(INDEX(年齢階層×在院期間区分F00F01＿寛解・院内寛解[#All],MATCH($AK5,年齢階層×在院期間区分F00F01＿寛解・院内寛解[[#All],[行ラベル]],0),MATCH($AX$3,年齢階層×在院期間区分F00F01＿寛解・院内寛解[#Headers],0)),0)+IFERROR(INDEX(年齢階層×在院期間区分F00F01＿寛解・院内寛解[#All],MATCH($AK5,年齢階層×在院期間区分F00F01＿寛解・院内寛解[[#All],[行ラベル]],0),MATCH($AY$3,年齢階層×在院期間区分F00F01＿寛解・院内寛解[#Headers],0)),0)</f>
        <v>0</v>
      </c>
      <c r="H21" s="209">
        <f t="shared" si="9"/>
        <v>0</v>
      </c>
      <c r="I21" s="231">
        <f>IFERROR(INDEX(年齢階層×在院期間区分F00F01＿寛解・院内寛解[#All],MATCH($AK5,年齢階層×在院期間区分F00F01＿寛解・院内寛解[[#All],[行ラベル]],0),MATCH($AZ$3,年齢階層×在院期間区分F00F01＿寛解・院内寛解[#Headers],0)),0)+IFERROR(INDEX(年齢階層×在院期間区分F00F01＿寛解・院内寛解[#All],MATCH($AK5,年齢階層×在院期間区分F00F01＿寛解・院内寛解[[#All],[行ラベル]],0),MATCH($BA$3,年齢階層×在院期間区分F00F01＿寛解・院内寛解[#Headers],0)),0)</f>
        <v>0</v>
      </c>
      <c r="J21" s="209">
        <f t="shared" si="10"/>
        <v>0</v>
      </c>
      <c r="K21" s="208">
        <f t="shared" si="11"/>
        <v>0</v>
      </c>
      <c r="L21" s="209">
        <f t="shared" si="12"/>
        <v>0</v>
      </c>
      <c r="O21" s="54" t="s">
        <v>6</v>
      </c>
      <c r="P21" s="66"/>
      <c r="Q21" s="66">
        <v>1</v>
      </c>
      <c r="R21" s="66"/>
      <c r="S21" s="66"/>
      <c r="T21" s="66"/>
      <c r="U21" s="66"/>
      <c r="V21" s="66"/>
      <c r="W21" s="66"/>
      <c r="X21" s="66"/>
      <c r="Y21" s="66"/>
      <c r="Z21" s="66"/>
      <c r="AA21" s="66"/>
      <c r="AB21" s="66"/>
      <c r="AC21" s="66"/>
      <c r="AD21" s="66"/>
      <c r="AE21" s="66"/>
      <c r="AK21" s="54" t="s">
        <v>3</v>
      </c>
    </row>
    <row r="22" spans="2:41" s="22" customFormat="1" ht="18.75" customHeight="1" x14ac:dyDescent="0.15">
      <c r="B22" s="230" t="s">
        <v>4</v>
      </c>
      <c r="C22" s="208">
        <f>IFERROR(INDEX(年齢階層×在院期間区分F00F01＿寛解・院内寛解[#All],MATCH($AK6,年齢階層×在院期間区分F00F01＿寛解・院内寛解[[#All],[行ラベル]],0),MATCH($AL$3,年齢階層×在院期間区分F00F01＿寛解・院内寛解[#Headers],0)),0)+IFERROR(INDEX(年齢階層×在院期間区分F00F01＿寛解・院内寛解[#All],MATCH($AK6,年齢階層×在院期間区分F00F01＿寛解・院内寛解[[#All],[行ラベル]],0),MATCH($AM$3,年齢階層×在院期間区分F00F01＿寛解・院内寛解[#Headers],0)),0)+IFERROR(INDEX(年齢階層×在院期間区分F00F01＿寛解・院内寛解[#All],MATCH($AK6,年齢階層×在院期間区分F00F01＿寛解・院内寛解[[#All],[行ラベル]],0),MATCH($AN$3,年齢階層×在院期間区分F00F01＿寛解・院内寛解[#Headers],0)),0)+IFERROR(INDEX(年齢階層×在院期間区分F00F01＿寛解・院内寛解[#All],MATCH($AK6,年齢階層×在院期間区分F00F01＿寛解・院内寛解[[#All],[行ラベル]],0),MATCH($AO$3,年齢階層×在院期間区分F00F01＿寛解・院内寛解[#Headers],0)),0)</f>
        <v>0</v>
      </c>
      <c r="D22" s="209">
        <f t="shared" si="7"/>
        <v>0</v>
      </c>
      <c r="E22" s="231">
        <f>IFERROR(INDEX(年齢階層×在院期間区分F00F01＿寛解・院内寛解[#All],MATCH($AK6,年齢階層×在院期間区分F00F01＿寛解・院内寛解[[#All],[行ラベル]],0),MATCH($AP$3,年齢階層×在院期間区分F00F01＿寛解・院内寛解[#Headers],0)),0)+IFERROR(INDEX(年齢階層×在院期間区分F00F01＿寛解・院内寛解[#All],MATCH($AK6,年齢階層×在院期間区分F00F01＿寛解・院内寛解[[#All],[行ラベル]],0),MATCH($AQ$3,年齢階層×在院期間区分F00F01＿寛解・院内寛解[#Headers],0)),0)+IFERROR(INDEX(年齢階層×在院期間区分F00F01＿寛解・院内寛解[#All],MATCH($AK6,年齢階層×在院期間区分F00F01＿寛解・院内寛解[[#All],[行ラベル]],0),MATCH($AR$3,年齢階層×在院期間区分F00F01＿寛解・院内寛解[#Headers],0)),0)+IFERROR(INDEX(年齢階層×在院期間区分F00F01＿寛解・院内寛解[#All],MATCH($AK6,年齢階層×在院期間区分F00F01＿寛解・院内寛解[[#All],[行ラベル]],0),MATCH($AS$3,年齢階層×在院期間区分F00F01＿寛解・院内寛解[#Headers],0)),0)+IFERROR(INDEX(年齢階層×在院期間区分F00F01＿寛解・院内寛解[#All],MATCH($AK6,年齢階層×在院期間区分F00F01＿寛解・院内寛解[[#All],[行ラベル]],0),MATCH($AT$3,年齢階層×在院期間区分F00F01＿寛解・院内寛解[#Headers],0)),0)</f>
        <v>0</v>
      </c>
      <c r="F22" s="209">
        <f t="shared" si="8"/>
        <v>0</v>
      </c>
      <c r="G22" s="232">
        <f>IFERROR(INDEX(年齢階層×在院期間区分F00F01＿寛解・院内寛解[#All],MATCH($AK6,年齢階層×在院期間区分F00F01＿寛解・院内寛解[[#All],[行ラベル]],0),MATCH($AU$3,年齢階層×在院期間区分F00F01＿寛解・院内寛解[#Headers],0)),0)+IFERROR(INDEX(年齢階層×在院期間区分F00F01＿寛解・院内寛解[#All],MATCH($AK6,年齢階層×在院期間区分F00F01＿寛解・院内寛解[[#All],[行ラベル]],0),MATCH($AV$3,年齢階層×在院期間区分F00F01＿寛解・院内寛解[#Headers],0)),0)+IFERROR(INDEX(年齢階層×在院期間区分F00F01＿寛解・院内寛解[#All],MATCH($AK6,年齢階層×在院期間区分F00F01＿寛解・院内寛解[[#All],[行ラベル]],0),MATCH($AW$3,年齢階層×在院期間区分F00F01＿寛解・院内寛解[#Headers],0)),0)+IFERROR(INDEX(年齢階層×在院期間区分F00F01＿寛解・院内寛解[#All],MATCH($AK6,年齢階層×在院期間区分F00F01＿寛解・院内寛解[[#All],[行ラベル]],0),MATCH($AX$3,年齢階層×在院期間区分F00F01＿寛解・院内寛解[#Headers],0)),0)+IFERROR(INDEX(年齢階層×在院期間区分F00F01＿寛解・院内寛解[#All],MATCH($AK6,年齢階層×在院期間区分F00F01＿寛解・院内寛解[[#All],[行ラベル]],0),MATCH($AY$3,年齢階層×在院期間区分F00F01＿寛解・院内寛解[#Headers],0)),0)</f>
        <v>0</v>
      </c>
      <c r="H22" s="209">
        <f t="shared" si="9"/>
        <v>0</v>
      </c>
      <c r="I22" s="208">
        <f>IFERROR(INDEX(年齢階層×在院期間区分F00F01＿寛解・院内寛解[#All],MATCH($AK6,年齢階層×在院期間区分F00F01＿寛解・院内寛解[[#All],[行ラベル]],0),MATCH($AZ$3,年齢階層×在院期間区分F00F01＿寛解・院内寛解[#Headers],0)),0)+IFERROR(INDEX(年齢階層×在院期間区分F00F01＿寛解・院内寛解[#All],MATCH($AK6,年齢階層×在院期間区分F00F01＿寛解・院内寛解[[#All],[行ラベル]],0),MATCH($BA$3,年齢階層×在院期間区分F00F01＿寛解・院内寛解[#Headers],0)),0)</f>
        <v>0</v>
      </c>
      <c r="J22" s="209">
        <f t="shared" si="10"/>
        <v>0</v>
      </c>
      <c r="K22" s="208">
        <f t="shared" si="11"/>
        <v>0</v>
      </c>
      <c r="L22" s="209">
        <f t="shared" si="12"/>
        <v>0</v>
      </c>
      <c r="O22" s="54" t="s">
        <v>7</v>
      </c>
      <c r="P22" s="66">
        <v>1</v>
      </c>
      <c r="Q22" s="66">
        <v>2</v>
      </c>
      <c r="R22" s="66"/>
      <c r="S22" s="66"/>
      <c r="T22" s="66"/>
      <c r="U22" s="66">
        <v>1</v>
      </c>
      <c r="V22" s="66"/>
      <c r="W22" s="66">
        <v>1</v>
      </c>
      <c r="X22" s="66"/>
      <c r="Y22" s="66"/>
      <c r="Z22" s="66"/>
      <c r="AA22" s="66"/>
      <c r="AB22" s="66"/>
      <c r="AC22" s="66"/>
      <c r="AD22" s="66"/>
      <c r="AE22" s="66"/>
      <c r="AK22" s="54" t="s">
        <v>4</v>
      </c>
    </row>
    <row r="23" spans="2:41" s="22" customFormat="1" ht="18.75" customHeight="1" x14ac:dyDescent="0.15">
      <c r="B23" s="230" t="s">
        <v>5</v>
      </c>
      <c r="C23" s="208">
        <f>IFERROR(INDEX(年齢階層×在院期間区分F00F01＿寛解・院内寛解[#All],MATCH($AK7,年齢階層×在院期間区分F00F01＿寛解・院内寛解[[#All],[行ラベル]],0),MATCH($AL$3,年齢階層×在院期間区分F00F01＿寛解・院内寛解[#Headers],0)),0)+IFERROR(INDEX(年齢階層×在院期間区分F00F01＿寛解・院内寛解[#All],MATCH($AK7,年齢階層×在院期間区分F00F01＿寛解・院内寛解[[#All],[行ラベル]],0),MATCH($AM$3,年齢階層×在院期間区分F00F01＿寛解・院内寛解[#Headers],0)),0)+IFERROR(INDEX(年齢階層×在院期間区分F00F01＿寛解・院内寛解[#All],MATCH($AK7,年齢階層×在院期間区分F00F01＿寛解・院内寛解[[#All],[行ラベル]],0),MATCH($AN$3,年齢階層×在院期間区分F00F01＿寛解・院内寛解[#Headers],0)),0)+IFERROR(INDEX(年齢階層×在院期間区分F00F01＿寛解・院内寛解[#All],MATCH($AK7,年齢階層×在院期間区分F00F01＿寛解・院内寛解[[#All],[行ラベル]],0),MATCH($AO$3,年齢階層×在院期間区分F00F01＿寛解・院内寛解[#Headers],0)),0)</f>
        <v>1</v>
      </c>
      <c r="D23" s="209">
        <f t="shared" si="7"/>
        <v>9.5238095238095247E-3</v>
      </c>
      <c r="E23" s="208">
        <f>IFERROR(INDEX(年齢階層×在院期間区分F00F01＿寛解・院内寛解[#All],MATCH($AK7,年齢階層×在院期間区分F00F01＿寛解・院内寛解[[#All],[行ラベル]],0),MATCH($AP$3,年齢階層×在院期間区分F00F01＿寛解・院内寛解[#Headers],0)),0)+IFERROR(INDEX(年齢階層×在院期間区分F00F01＿寛解・院内寛解[#All],MATCH($AK7,年齢階層×在院期間区分F00F01＿寛解・院内寛解[[#All],[行ラベル]],0),MATCH($AQ$3,年齢階層×在院期間区分F00F01＿寛解・院内寛解[#Headers],0)),0)+IFERROR(INDEX(年齢階層×在院期間区分F00F01＿寛解・院内寛解[#All],MATCH($AK7,年齢階層×在院期間区分F00F01＿寛解・院内寛解[[#All],[行ラベル]],0),MATCH($AR$3,年齢階層×在院期間区分F00F01＿寛解・院内寛解[#Headers],0)),0)+IFERROR(INDEX(年齢階層×在院期間区分F00F01＿寛解・院内寛解[#All],MATCH($AK7,年齢階層×在院期間区分F00F01＿寛解・院内寛解[[#All],[行ラベル]],0),MATCH($AS$3,年齢階層×在院期間区分F00F01＿寛解・院内寛解[#Headers],0)),0)+IFERROR(INDEX(年齢階層×在院期間区分F00F01＿寛解・院内寛解[#All],MATCH($AK7,年齢階層×在院期間区分F00F01＿寛解・院内寛解[[#All],[行ラベル]],0),MATCH($AT$3,年齢階層×在院期間区分F00F01＿寛解・院内寛解[#Headers],0)),0)</f>
        <v>0</v>
      </c>
      <c r="F23" s="209">
        <f t="shared" si="8"/>
        <v>0</v>
      </c>
      <c r="G23" s="208">
        <f>IFERROR(INDEX(年齢階層×在院期間区分F00F01＿寛解・院内寛解[#All],MATCH($AK7,年齢階層×在院期間区分F00F01＿寛解・院内寛解[[#All],[行ラベル]],0),MATCH($AU$3,年齢階層×在院期間区分F00F01＿寛解・院内寛解[#Headers],0)),0)+IFERROR(INDEX(年齢階層×在院期間区分F00F01＿寛解・院内寛解[#All],MATCH($AK7,年齢階層×在院期間区分F00F01＿寛解・院内寛解[[#All],[行ラベル]],0),MATCH($AV$3,年齢階層×在院期間区分F00F01＿寛解・院内寛解[#Headers],0)),0)+IFERROR(INDEX(年齢階層×在院期間区分F00F01＿寛解・院内寛解[#All],MATCH($AK7,年齢階層×在院期間区分F00F01＿寛解・院内寛解[[#All],[行ラベル]],0),MATCH($AW$3,年齢階層×在院期間区分F00F01＿寛解・院内寛解[#Headers],0)),0)+IFERROR(INDEX(年齢階層×在院期間区分F00F01＿寛解・院内寛解[#All],MATCH($AK7,年齢階層×在院期間区分F00F01＿寛解・院内寛解[[#All],[行ラベル]],0),MATCH($AX$3,年齢階層×在院期間区分F00F01＿寛解・院内寛解[#Headers],0)),0)+IFERROR(INDEX(年齢階層×在院期間区分F00F01＿寛解・院内寛解[#All],MATCH($AK7,年齢階層×在院期間区分F00F01＿寛解・院内寛解[[#All],[行ラベル]],0),MATCH($AY$3,年齢階層×在院期間区分F00F01＿寛解・院内寛解[#Headers],0)),0)</f>
        <v>0</v>
      </c>
      <c r="H23" s="209">
        <f t="shared" si="9"/>
        <v>0</v>
      </c>
      <c r="I23" s="208">
        <f>IFERROR(INDEX(年齢階層×在院期間区分F00F01＿寛解・院内寛解[#All],MATCH($AK7,年齢階層×在院期間区分F00F01＿寛解・院内寛解[[#All],[行ラベル]],0),MATCH($AZ$3,年齢階層×在院期間区分F00F01＿寛解・院内寛解[#Headers],0)),0)+IFERROR(INDEX(年齢階層×在院期間区分F00F01＿寛解・院内寛解[#All],MATCH($AK7,年齢階層×在院期間区分F00F01＿寛解・院内寛解[[#All],[行ラベル]],0),MATCH($BA$3,年齢階層×在院期間区分F00F01＿寛解・院内寛解[#Headers],0)),0)</f>
        <v>0</v>
      </c>
      <c r="J23" s="209">
        <f t="shared" si="10"/>
        <v>0</v>
      </c>
      <c r="K23" s="208">
        <f t="shared" si="11"/>
        <v>1</v>
      </c>
      <c r="L23" s="209">
        <f t="shared" si="12"/>
        <v>7.0422535211267607E-3</v>
      </c>
      <c r="O23" s="54" t="s">
        <v>8</v>
      </c>
      <c r="P23" s="66">
        <v>14</v>
      </c>
      <c r="Q23" s="66">
        <v>9</v>
      </c>
      <c r="R23" s="66">
        <v>8</v>
      </c>
      <c r="S23" s="66">
        <v>7</v>
      </c>
      <c r="T23" s="66">
        <v>2</v>
      </c>
      <c r="U23" s="66">
        <v>2</v>
      </c>
      <c r="V23" s="66">
        <v>4</v>
      </c>
      <c r="W23" s="66">
        <v>2</v>
      </c>
      <c r="X23" s="66"/>
      <c r="Y23" s="66">
        <v>1</v>
      </c>
      <c r="Z23" s="66"/>
      <c r="AA23" s="66"/>
      <c r="AB23" s="66"/>
      <c r="AC23" s="66"/>
      <c r="AD23" s="66"/>
      <c r="AE23" s="66"/>
      <c r="AK23" s="54" t="s">
        <v>5</v>
      </c>
    </row>
    <row r="24" spans="2:41" s="22" customFormat="1" ht="18.75" customHeight="1" x14ac:dyDescent="0.15">
      <c r="B24" s="230" t="s">
        <v>6</v>
      </c>
      <c r="C24" s="232">
        <f>IFERROR(INDEX(年齢階層×在院期間区分F00F01＿寛解・院内寛解[#All],MATCH($AK8,年齢階層×在院期間区分F00F01＿寛解・院内寛解[[#All],[行ラベル]],0),MATCH($AL$3,年齢階層×在院期間区分F00F01＿寛解・院内寛解[#Headers],0)),0)+IFERROR(INDEX(年齢階層×在院期間区分F00F01＿寛解・院内寛解[#All],MATCH($AK8,年齢階層×在院期間区分F00F01＿寛解・院内寛解[[#All],[行ラベル]],0),MATCH($AM$3,年齢階層×在院期間区分F00F01＿寛解・院内寛解[#Headers],0)),0)+IFERROR(INDEX(年齢階層×在院期間区分F00F01＿寛解・院内寛解[#All],MATCH($AK8,年齢階層×在院期間区分F00F01＿寛解・院内寛解[[#All],[行ラベル]],0),MATCH($AN$3,年齢階層×在院期間区分F00F01＿寛解・院内寛解[#Headers],0)),0)+IFERROR(INDEX(年齢階層×在院期間区分F00F01＿寛解・院内寛解[#All],MATCH($AK8,年齢階層×在院期間区分F00F01＿寛解・院内寛解[[#All],[行ラベル]],0),MATCH($AO$3,年齢階層×在院期間区分F00F01＿寛解・院内寛解[#Headers],0)),0)</f>
        <v>1</v>
      </c>
      <c r="D24" s="209">
        <f t="shared" si="7"/>
        <v>9.5238095238095247E-3</v>
      </c>
      <c r="E24" s="208">
        <f>IFERROR(INDEX(年齢階層×在院期間区分F00F01＿寛解・院内寛解[#All],MATCH($AK8,年齢階層×在院期間区分F00F01＿寛解・院内寛解[[#All],[行ラベル]],0),MATCH($AP$3,年齢階層×在院期間区分F00F01＿寛解・院内寛解[#Headers],0)),0)+IFERROR(INDEX(年齢階層×在院期間区分F00F01＿寛解・院内寛解[#All],MATCH($AK8,年齢階層×在院期間区分F00F01＿寛解・院内寛解[[#All],[行ラベル]],0),MATCH($AQ$3,年齢階層×在院期間区分F00F01＿寛解・院内寛解[#Headers],0)),0)+IFERROR(INDEX(年齢階層×在院期間区分F00F01＿寛解・院内寛解[#All],MATCH($AK8,年齢階層×在院期間区分F00F01＿寛解・院内寛解[[#All],[行ラベル]],0),MATCH($AR$3,年齢階層×在院期間区分F00F01＿寛解・院内寛解[#Headers],0)),0)+IFERROR(INDEX(年齢階層×在院期間区分F00F01＿寛解・院内寛解[#All],MATCH($AK8,年齢階層×在院期間区分F00F01＿寛解・院内寛解[[#All],[行ラベル]],0),MATCH($AS$3,年齢階層×在院期間区分F00F01＿寛解・院内寛解[#Headers],0)),0)+IFERROR(INDEX(年齢階層×在院期間区分F00F01＿寛解・院内寛解[#All],MATCH($AK8,年齢階層×在院期間区分F00F01＿寛解・院内寛解[[#All],[行ラベル]],0),MATCH($AT$3,年齢階層×在院期間区分F00F01＿寛解・院内寛解[#Headers],0)),0)</f>
        <v>0</v>
      </c>
      <c r="F24" s="209">
        <f t="shared" si="8"/>
        <v>0</v>
      </c>
      <c r="G24" s="232">
        <f>IFERROR(INDEX(年齢階層×在院期間区分F00F01＿寛解・院内寛解[#All],MATCH($AK8,年齢階層×在院期間区分F00F01＿寛解・院内寛解[[#All],[行ラベル]],0),MATCH($AU$3,年齢階層×在院期間区分F00F01＿寛解・院内寛解[#Headers],0)),0)+IFERROR(INDEX(年齢階層×在院期間区分F00F01＿寛解・院内寛解[#All],MATCH($AK8,年齢階層×在院期間区分F00F01＿寛解・院内寛解[[#All],[行ラベル]],0),MATCH($AV$3,年齢階層×在院期間区分F00F01＿寛解・院内寛解[#Headers],0)),0)+IFERROR(INDEX(年齢階層×在院期間区分F00F01＿寛解・院内寛解[#All],MATCH($AK8,年齢階層×在院期間区分F00F01＿寛解・院内寛解[[#All],[行ラベル]],0),MATCH($AW$3,年齢階層×在院期間区分F00F01＿寛解・院内寛解[#Headers],0)),0)+IFERROR(INDEX(年齢階層×在院期間区分F00F01＿寛解・院内寛解[#All],MATCH($AK8,年齢階層×在院期間区分F00F01＿寛解・院内寛解[[#All],[行ラベル]],0),MATCH($AX$3,年齢階層×在院期間区分F00F01＿寛解・院内寛解[#Headers],0)),0)+IFERROR(INDEX(年齢階層×在院期間区分F00F01＿寛解・院内寛解[#All],MATCH($AK8,年齢階層×在院期間区分F00F01＿寛解・院内寛解[[#All],[行ラベル]],0),MATCH($AY$3,年齢階層×在院期間区分F00F01＿寛解・院内寛解[#Headers],0)),0)</f>
        <v>0</v>
      </c>
      <c r="H24" s="209">
        <f t="shared" si="9"/>
        <v>0</v>
      </c>
      <c r="I24" s="208">
        <f>IFERROR(INDEX(年齢階層×在院期間区分F00F01＿寛解・院内寛解[#All],MATCH($AK8,年齢階層×在院期間区分F00F01＿寛解・院内寛解[[#All],[行ラベル]],0),MATCH($AZ$3,年齢階層×在院期間区分F00F01＿寛解・院内寛解[#Headers],0)),0)+IFERROR(INDEX(年齢階層×在院期間区分F00F01＿寛解・院内寛解[#All],MATCH($AK8,年齢階層×在院期間区分F00F01＿寛解・院内寛解[[#All],[行ラベル]],0),MATCH($BA$3,年齢階層×在院期間区分F00F01＿寛解・院内寛解[#Headers],0)),0)</f>
        <v>0</v>
      </c>
      <c r="J24" s="209">
        <f t="shared" si="10"/>
        <v>0</v>
      </c>
      <c r="K24" s="208">
        <f t="shared" si="11"/>
        <v>1</v>
      </c>
      <c r="L24" s="209">
        <f t="shared" si="12"/>
        <v>7.0422535211267607E-3</v>
      </c>
      <c r="O24" s="54" t="s">
        <v>9</v>
      </c>
      <c r="P24" s="66">
        <v>16</v>
      </c>
      <c r="Q24" s="66">
        <v>11</v>
      </c>
      <c r="R24" s="66">
        <v>11</v>
      </c>
      <c r="S24" s="66">
        <v>10</v>
      </c>
      <c r="T24" s="66">
        <v>3</v>
      </c>
      <c r="U24" s="66">
        <v>4</v>
      </c>
      <c r="V24" s="66">
        <v>2</v>
      </c>
      <c r="W24" s="66">
        <v>2</v>
      </c>
      <c r="X24" s="66">
        <v>3</v>
      </c>
      <c r="Y24" s="66">
        <v>1</v>
      </c>
      <c r="Z24" s="66">
        <v>2</v>
      </c>
      <c r="AA24" s="66">
        <v>1</v>
      </c>
      <c r="AB24" s="66"/>
      <c r="AC24" s="66"/>
      <c r="AD24" s="66"/>
      <c r="AE24" s="66"/>
      <c r="AK24" s="54" t="s">
        <v>6</v>
      </c>
    </row>
    <row r="25" spans="2:41" s="22" customFormat="1" ht="18.75" customHeight="1" x14ac:dyDescent="0.15">
      <c r="B25" s="230" t="s">
        <v>7</v>
      </c>
      <c r="C25" s="231">
        <f>IFERROR(INDEX(年齢階層×在院期間区分F00F01＿寛解・院内寛解[#All],MATCH($AK9,年齢階層×在院期間区分F00F01＿寛解・院内寛解[[#All],[行ラベル]],0),MATCH($AL$3,年齢階層×在院期間区分F00F01＿寛解・院内寛解[#Headers],0)),0)+IFERROR(INDEX(年齢階層×在院期間区分F00F01＿寛解・院内寛解[#All],MATCH($AK9,年齢階層×在院期間区分F00F01＿寛解・院内寛解[[#All],[行ラベル]],0),MATCH($AM$3,年齢階層×在院期間区分F00F01＿寛解・院内寛解[#Headers],0)),0)+IFERROR(INDEX(年齢階層×在院期間区分F00F01＿寛解・院内寛解[#All],MATCH($AK9,年齢階層×在院期間区分F00F01＿寛解・院内寛解[[#All],[行ラベル]],0),MATCH($AN$3,年齢階層×在院期間区分F00F01＿寛解・院内寛解[#Headers],0)),0)+IFERROR(INDEX(年齢階層×在院期間区分F00F01＿寛解・院内寛解[#All],MATCH($AK9,年齢階層×在院期間区分F00F01＿寛解・院内寛解[[#All],[行ラベル]],0),MATCH($AO$3,年齢階層×在院期間区分F00F01＿寛解・院内寛解[#Headers],0)),0)</f>
        <v>3</v>
      </c>
      <c r="D25" s="209">
        <f t="shared" si="7"/>
        <v>2.8571428571428571E-2</v>
      </c>
      <c r="E25" s="208">
        <f>IFERROR(INDEX(年齢階層×在院期間区分F00F01＿寛解・院内寛解[#All],MATCH($AK9,年齢階層×在院期間区分F00F01＿寛解・院内寛解[[#All],[行ラベル]],0),MATCH($AP$3,年齢階層×在院期間区分F00F01＿寛解・院内寛解[#Headers],0)),0)+IFERROR(INDEX(年齢階層×在院期間区分F00F01＿寛解・院内寛解[#All],MATCH($AK9,年齢階層×在院期間区分F00F01＿寛解・院内寛解[[#All],[行ラベル]],0),MATCH($AQ$3,年齢階層×在院期間区分F00F01＿寛解・院内寛解[#Headers],0)),0)+IFERROR(INDEX(年齢階層×在院期間区分F00F01＿寛解・院内寛解[#All],MATCH($AK9,年齢階層×在院期間区分F00F01＿寛解・院内寛解[[#All],[行ラベル]],0),MATCH($AR$3,年齢階層×在院期間区分F00F01＿寛解・院内寛解[#Headers],0)),0)+IFERROR(INDEX(年齢階層×在院期間区分F00F01＿寛解・院内寛解[#All],MATCH($AK9,年齢階層×在院期間区分F00F01＿寛解・院内寛解[[#All],[行ラベル]],0),MATCH($AS$3,年齢階層×在院期間区分F00F01＿寛解・院内寛解[#Headers],0)),0)+IFERROR(INDEX(年齢階層×在院期間区分F00F01＿寛解・院内寛解[#All],MATCH($AK9,年齢階層×在院期間区分F00F01＿寛解・院内寛解[[#All],[行ラベル]],0),MATCH($AT$3,年齢階層×在院期間区分F00F01＿寛解・院内寛解[#Headers],0)),0)</f>
        <v>2</v>
      </c>
      <c r="F25" s="209">
        <f t="shared" si="8"/>
        <v>6.4516129032258063E-2</v>
      </c>
      <c r="G25" s="231">
        <f>IFERROR(INDEX(年齢階層×在院期間区分F00F01＿寛解・院内寛解[#All],MATCH($AK9,年齢階層×在院期間区分F00F01＿寛解・院内寛解[[#All],[行ラベル]],0),MATCH($AU$3,年齢階層×在院期間区分F00F01＿寛解・院内寛解[#Headers],0)),0)+IFERROR(INDEX(年齢階層×在院期間区分F00F01＿寛解・院内寛解[#All],MATCH($AK9,年齢階層×在院期間区分F00F01＿寛解・院内寛解[[#All],[行ラベル]],0),MATCH($AV$3,年齢階層×在院期間区分F00F01＿寛解・院内寛解[#Headers],0)),0)+IFERROR(INDEX(年齢階層×在院期間区分F00F01＿寛解・院内寛解[#All],MATCH($AK9,年齢階層×在院期間区分F00F01＿寛解・院内寛解[[#All],[行ラベル]],0),MATCH($AW$3,年齢階層×在院期間区分F00F01＿寛解・院内寛解[#Headers],0)),0)+IFERROR(INDEX(年齢階層×在院期間区分F00F01＿寛解・院内寛解[#All],MATCH($AK9,年齢階層×在院期間区分F00F01＿寛解・院内寛解[[#All],[行ラベル]],0),MATCH($AX$3,年齢階層×在院期間区分F00F01＿寛解・院内寛解[#Headers],0)),0)+IFERROR(INDEX(年齢階層×在院期間区分F00F01＿寛解・院内寛解[#All],MATCH($AK9,年齢階層×在院期間区分F00F01＿寛解・院内寛解[[#All],[行ラベル]],0),MATCH($AY$3,年齢階層×在院期間区分F00F01＿寛解・院内寛解[#Headers],0)),0)</f>
        <v>0</v>
      </c>
      <c r="H25" s="209">
        <f t="shared" si="9"/>
        <v>0</v>
      </c>
      <c r="I25" s="208">
        <f>IFERROR(INDEX(年齢階層×在院期間区分F00F01＿寛解・院内寛解[#All],MATCH($AK9,年齢階層×在院期間区分F00F01＿寛解・院内寛解[[#All],[行ラベル]],0),MATCH($AZ$3,年齢階層×在院期間区分F00F01＿寛解・院内寛解[#Headers],0)),0)+IFERROR(INDEX(年齢階層×在院期間区分F00F01＿寛解・院内寛解[#All],MATCH($AK9,年齢階層×在院期間区分F00F01＿寛解・院内寛解[[#All],[行ラベル]],0),MATCH($BA$3,年齢階層×在院期間区分F00F01＿寛解・院内寛解[#Headers],0)),0)</f>
        <v>0</v>
      </c>
      <c r="J25" s="209">
        <f t="shared" si="10"/>
        <v>0</v>
      </c>
      <c r="K25" s="208">
        <f t="shared" si="11"/>
        <v>5</v>
      </c>
      <c r="L25" s="209">
        <f t="shared" si="12"/>
        <v>3.5211267605633804E-2</v>
      </c>
      <c r="O25" s="54" t="s">
        <v>10</v>
      </c>
      <c r="P25" s="66">
        <v>4</v>
      </c>
      <c r="Q25" s="66">
        <v>2</v>
      </c>
      <c r="R25" s="66">
        <v>6</v>
      </c>
      <c r="S25" s="66">
        <v>2</v>
      </c>
      <c r="T25" s="66">
        <v>2</v>
      </c>
      <c r="U25" s="66">
        <v>1</v>
      </c>
      <c r="V25" s="66">
        <v>1</v>
      </c>
      <c r="W25" s="66">
        <v>1</v>
      </c>
      <c r="X25" s="66"/>
      <c r="Y25" s="66"/>
      <c r="Z25" s="66"/>
      <c r="AA25" s="66">
        <v>1</v>
      </c>
      <c r="AB25" s="66"/>
      <c r="AC25" s="66"/>
      <c r="AD25" s="66"/>
      <c r="AE25" s="66"/>
      <c r="AK25" s="54" t="s">
        <v>7</v>
      </c>
    </row>
    <row r="26" spans="2:41" s="22" customFormat="1" ht="18.75" customHeight="1" x14ac:dyDescent="0.15">
      <c r="B26" s="230" t="s">
        <v>8</v>
      </c>
      <c r="C26" s="208">
        <f>IFERROR(INDEX(年齢階層×在院期間区分F00F01＿寛解・院内寛解[#All],MATCH($AK10,年齢階層×在院期間区分F00F01＿寛解・院内寛解[[#All],[行ラベル]],0),MATCH($AL$3,年齢階層×在院期間区分F00F01＿寛解・院内寛解[#Headers],0)),0)+IFERROR(INDEX(年齢階層×在院期間区分F00F01＿寛解・院内寛解[#All],MATCH($AK10,年齢階層×在院期間区分F00F01＿寛解・院内寛解[[#All],[行ラベル]],0),MATCH($AM$3,年齢階層×在院期間区分F00F01＿寛解・院内寛解[#Headers],0)),0)+IFERROR(INDEX(年齢階層×在院期間区分F00F01＿寛解・院内寛解[#All],MATCH($AK10,年齢階層×在院期間区分F00F01＿寛解・院内寛解[[#All],[行ラベル]],0),MATCH($AN$3,年齢階層×在院期間区分F00F01＿寛解・院内寛解[#Headers],0)),0)+IFERROR(INDEX(年齢階層×在院期間区分F00F01＿寛解・院内寛解[#All],MATCH($AK10,年齢階層×在院期間区分F00F01＿寛解・院内寛解[[#All],[行ラベル]],0),MATCH($AO$3,年齢階層×在院期間区分F00F01＿寛解・院内寛解[#Headers],0)),0)</f>
        <v>38</v>
      </c>
      <c r="D26" s="209">
        <f t="shared" si="7"/>
        <v>0.3619047619047619</v>
      </c>
      <c r="E26" s="208">
        <f>IFERROR(INDEX(年齢階層×在院期間区分F00F01＿寛解・院内寛解[#All],MATCH($AK10,年齢階層×在院期間区分F00F01＿寛解・院内寛解[[#All],[行ラベル]],0),MATCH($AP$3,年齢階層×在院期間区分F00F01＿寛解・院内寛解[#Headers],0)),0)+IFERROR(INDEX(年齢階層×在院期間区分F00F01＿寛解・院内寛解[#All],MATCH($AK10,年齢階層×在院期間区分F00F01＿寛解・院内寛解[[#All],[行ラベル]],0),MATCH($AQ$3,年齢階層×在院期間区分F00F01＿寛解・院内寛解[#Headers],0)),0)+IFERROR(INDEX(年齢階層×在院期間区分F00F01＿寛解・院内寛解[#All],MATCH($AK10,年齢階層×在院期間区分F00F01＿寛解・院内寛解[[#All],[行ラベル]],0),MATCH($AR$3,年齢階層×在院期間区分F00F01＿寛解・院内寛解[#Headers],0)),0)+IFERROR(INDEX(年齢階層×在院期間区分F00F01＿寛解・院内寛解[#All],MATCH($AK10,年齢階層×在院期間区分F00F01＿寛解・院内寛解[[#All],[行ラベル]],0),MATCH($AS$3,年齢階層×在院期間区分F00F01＿寛解・院内寛解[#Headers],0)),0)+IFERROR(INDEX(年齢階層×在院期間区分F00F01＿寛解・院内寛解[#All],MATCH($AK10,年齢階層×在院期間区分F00F01＿寛解・院内寛解[[#All],[行ラベル]],0),MATCH($AT$3,年齢階層×在院期間区分F00F01＿寛解・院内寛解[#Headers],0)),0)</f>
        <v>10</v>
      </c>
      <c r="F26" s="209">
        <f t="shared" si="8"/>
        <v>0.32258064516129031</v>
      </c>
      <c r="G26" s="231">
        <f>IFERROR(INDEX(年齢階層×在院期間区分F00F01＿寛解・院内寛解[#All],MATCH($AK10,年齢階層×在院期間区分F00F01＿寛解・院内寛解[[#All],[行ラベル]],0),MATCH($AU$3,年齢階層×在院期間区分F00F01＿寛解・院内寛解[#Headers],0)),0)+IFERROR(INDEX(年齢階層×在院期間区分F00F01＿寛解・院内寛解[#All],MATCH($AK10,年齢階層×在院期間区分F00F01＿寛解・院内寛解[[#All],[行ラベル]],0),MATCH($AV$3,年齢階層×在院期間区分F00F01＿寛解・院内寛解[#Headers],0)),0)+IFERROR(INDEX(年齢階層×在院期間区分F00F01＿寛解・院内寛解[#All],MATCH($AK10,年齢階層×在院期間区分F00F01＿寛解・院内寛解[[#All],[行ラベル]],0),MATCH($AW$3,年齢階層×在院期間区分F00F01＿寛解・院内寛解[#Headers],0)),0)+IFERROR(INDEX(年齢階層×在院期間区分F00F01＿寛解・院内寛解[#All],MATCH($AK10,年齢階層×在院期間区分F00F01＿寛解・院内寛解[[#All],[行ラベル]],0),MATCH($AX$3,年齢階層×在院期間区分F00F01＿寛解・院内寛解[#Headers],0)),0)+IFERROR(INDEX(年齢階層×在院期間区分F00F01＿寛解・院内寛解[#All],MATCH($AK10,年齢階層×在院期間区分F00F01＿寛解・院内寛解[[#All],[行ラベル]],0),MATCH($AY$3,年齢階層×在院期間区分F00F01＿寛解・院内寛解[#Headers],0)),0)</f>
        <v>1</v>
      </c>
      <c r="H26" s="209">
        <f t="shared" si="9"/>
        <v>0.25</v>
      </c>
      <c r="I26" s="208">
        <f>IFERROR(INDEX(年齢階層×在院期間区分F00F01＿寛解・院内寛解[#All],MATCH($AK10,年齢階層×在院期間区分F00F01＿寛解・院内寛解[[#All],[行ラベル]],0),MATCH($AZ$3,年齢階層×在院期間区分F00F01＿寛解・院内寛解[#Headers],0)),0)+IFERROR(INDEX(年齢階層×在院期間区分F00F01＿寛解・院内寛解[#All],MATCH($AK10,年齢階層×在院期間区分F00F01＿寛解・院内寛解[[#All],[行ラベル]],0),MATCH($BA$3,年齢階層×在院期間区分F00F01＿寛解・院内寛解[#Headers],0)),0)</f>
        <v>0</v>
      </c>
      <c r="J26" s="209">
        <f t="shared" si="10"/>
        <v>0</v>
      </c>
      <c r="K26" s="208">
        <f t="shared" si="11"/>
        <v>49</v>
      </c>
      <c r="L26" s="209">
        <f t="shared" si="12"/>
        <v>0.34507042253521125</v>
      </c>
      <c r="O26" s="54"/>
      <c r="P26" s="66"/>
      <c r="Q26" s="66"/>
      <c r="R26" s="66"/>
      <c r="S26" s="66"/>
      <c r="T26" s="66"/>
      <c r="U26" s="66"/>
      <c r="V26" s="66"/>
      <c r="W26" s="66"/>
      <c r="X26" s="66"/>
      <c r="Y26" s="66"/>
      <c r="Z26" s="66"/>
      <c r="AA26" s="66"/>
      <c r="AB26" s="66"/>
      <c r="AC26" s="66"/>
      <c r="AD26" s="66"/>
      <c r="AE26" s="66"/>
      <c r="AK26" s="54" t="s">
        <v>8</v>
      </c>
    </row>
    <row r="27" spans="2:41" s="22" customFormat="1" ht="18.75" customHeight="1" x14ac:dyDescent="0.15">
      <c r="B27" s="230" t="s">
        <v>9</v>
      </c>
      <c r="C27" s="232">
        <f>IFERROR(INDEX(年齢階層×在院期間区分F00F01＿寛解・院内寛解[#All],MATCH($AK11,年齢階層×在院期間区分F00F01＿寛解・院内寛解[[#All],[行ラベル]],0),MATCH($AL$3,年齢階層×在院期間区分F00F01＿寛解・院内寛解[#Headers],0)),0)+IFERROR(INDEX(年齢階層×在院期間区分F00F01＿寛解・院内寛解[#All],MATCH($AK11,年齢階層×在院期間区分F00F01＿寛解・院内寛解[[#All],[行ラベル]],0),MATCH($AM$3,年齢階層×在院期間区分F00F01＿寛解・院内寛解[#Headers],0)),0)+IFERROR(INDEX(年齢階層×在院期間区分F00F01＿寛解・院内寛解[#All],MATCH($AK11,年齢階層×在院期間区分F00F01＿寛解・院内寛解[[#All],[行ラベル]],0),MATCH($AN$3,年齢階層×在院期間区分F00F01＿寛解・院内寛解[#Headers],0)),0)+IFERROR(INDEX(年齢階層×在院期間区分F00F01＿寛解・院内寛解[#All],MATCH($AK11,年齢階層×在院期間区分F00F01＿寛解・院内寛解[[#All],[行ラベル]],0),MATCH($AO$3,年齢階層×在院期間区分F00F01＿寛解・院内寛解[#Headers],0)),0)</f>
        <v>48</v>
      </c>
      <c r="D27" s="209">
        <f t="shared" si="7"/>
        <v>0.45714285714285713</v>
      </c>
      <c r="E27" s="232">
        <f>IFERROR(INDEX(年齢階層×在院期間区分F00F01＿寛解・院内寛解[#All],MATCH($AK11,年齢階層×在院期間区分F00F01＿寛解・院内寛解[[#All],[行ラベル]],0),MATCH($AP$3,年齢階層×在院期間区分F00F01＿寛解・院内寛解[#Headers],0)),0)+IFERROR(INDEX(年齢階層×在院期間区分F00F01＿寛解・院内寛解[#All],MATCH($AK11,年齢階層×在院期間区分F00F01＿寛解・院内寛解[[#All],[行ラベル]],0),MATCH($AQ$3,年齢階層×在院期間区分F00F01＿寛解・院内寛解[#Headers],0)),0)+IFERROR(INDEX(年齢階層×在院期間区分F00F01＿寛解・院内寛解[#All],MATCH($AK11,年齢階層×在院期間区分F00F01＿寛解・院内寛解[[#All],[行ラベル]],0),MATCH($AR$3,年齢階層×在院期間区分F00F01＿寛解・院内寛解[#Headers],0)),0)+IFERROR(INDEX(年齢階層×在院期間区分F00F01＿寛解・院内寛解[#All],MATCH($AK11,年齢階層×在院期間区分F00F01＿寛解・院内寛解[[#All],[行ラベル]],0),MATCH($AS$3,年齢階層×在院期間区分F00F01＿寛解・院内寛解[#Headers],0)),0)+IFERROR(INDEX(年齢階層×在院期間区分F00F01＿寛解・院内寛解[#All],MATCH($AK11,年齢階層×在院期間区分F00F01＿寛解・院内寛解[[#All],[行ラベル]],0),MATCH($AT$3,年齢階層×在院期間区分F00F01＿寛解・院内寛解[#Headers],0)),0)</f>
        <v>14</v>
      </c>
      <c r="F27" s="209">
        <f t="shared" si="8"/>
        <v>0.45161290322580644</v>
      </c>
      <c r="G27" s="208">
        <f>IFERROR(INDEX(年齢階層×在院期間区分F00F01＿寛解・院内寛解[#All],MATCH($AK11,年齢階層×在院期間区分F00F01＿寛解・院内寛解[[#All],[行ラベル]],0),MATCH($AU$3,年齢階層×在院期間区分F00F01＿寛解・院内寛解[#Headers],0)),0)+IFERROR(INDEX(年齢階層×在院期間区分F00F01＿寛解・院内寛解[#All],MATCH($AK11,年齢階層×在院期間区分F00F01＿寛解・院内寛解[[#All],[行ラベル]],0),MATCH($AV$3,年齢階層×在院期間区分F00F01＿寛解・院内寛解[#Headers],0)),0)+IFERROR(INDEX(年齢階層×在院期間区分F00F01＿寛解・院内寛解[#All],MATCH($AK11,年齢階層×在院期間区分F00F01＿寛解・院内寛解[[#All],[行ラベル]],0),MATCH($AW$3,年齢階層×在院期間区分F00F01＿寛解・院内寛解[#Headers],0)),0)+IFERROR(INDEX(年齢階層×在院期間区分F00F01＿寛解・院内寛解[#All],MATCH($AK11,年齢階層×在院期間区分F00F01＿寛解・院内寛解[[#All],[行ラベル]],0),MATCH($AX$3,年齢階層×在院期間区分F00F01＿寛解・院内寛解[#Headers],0)),0)+IFERROR(INDEX(年齢階層×在院期間区分F00F01＿寛解・院内寛解[#All],MATCH($AK11,年齢階層×在院期間区分F00F01＿寛解・院内寛解[[#All],[行ラベル]],0),MATCH($AY$3,年齢階層×在院期間区分F00F01＿寛解・院内寛解[#Headers],0)),0)</f>
        <v>3</v>
      </c>
      <c r="H27" s="209">
        <f t="shared" si="9"/>
        <v>0.75</v>
      </c>
      <c r="I27" s="208">
        <f>IFERROR(INDEX(年齢階層×在院期間区分F00F01＿寛解・院内寛解[#All],MATCH($AK11,年齢階層×在院期間区分F00F01＿寛解・院内寛解[[#All],[行ラベル]],0),MATCH($AZ$3,年齢階層×在院期間区分F00F01＿寛解・院内寛解[#Headers],0)),0)+IFERROR(INDEX(年齢階層×在院期間区分F00F01＿寛解・院内寛解[#All],MATCH($AK11,年齢階層×在院期間区分F00F01＿寛解・院内寛解[[#All],[行ラベル]],0),MATCH($BA$3,年齢階層×在院期間区分F00F01＿寛解・院内寛解[#Headers],0)),0)</f>
        <v>1</v>
      </c>
      <c r="J27" s="209">
        <f t="shared" si="10"/>
        <v>0.5</v>
      </c>
      <c r="K27" s="208">
        <f t="shared" si="11"/>
        <v>66</v>
      </c>
      <c r="L27" s="209">
        <f t="shared" si="12"/>
        <v>0.46478873239436619</v>
      </c>
      <c r="O27" s="54"/>
      <c r="P27" s="66"/>
      <c r="Q27" s="66"/>
      <c r="R27" s="66"/>
      <c r="S27" s="66"/>
      <c r="T27" s="66"/>
      <c r="U27" s="66"/>
      <c r="V27" s="66"/>
      <c r="W27" s="66"/>
      <c r="X27" s="66"/>
      <c r="Y27" s="66"/>
      <c r="Z27" s="66"/>
      <c r="AA27" s="66"/>
      <c r="AB27" s="66"/>
      <c r="AC27" s="66"/>
      <c r="AD27" s="66"/>
      <c r="AE27" s="66"/>
      <c r="AK27" s="54" t="s">
        <v>9</v>
      </c>
    </row>
    <row r="28" spans="2:41" s="22" customFormat="1" ht="18.75" customHeight="1" thickBot="1" x14ac:dyDescent="0.2">
      <c r="B28" s="233" t="s">
        <v>10</v>
      </c>
      <c r="C28" s="211">
        <f>IFERROR(INDEX(年齢階層×在院期間区分F00F01＿寛解・院内寛解[#All],MATCH($AK12,年齢階層×在院期間区分F00F01＿寛解・院内寛解[[#All],[行ラベル]],0),MATCH($AL$3,年齢階層×在院期間区分F00F01＿寛解・院内寛解[#Headers],0)),0)+IFERROR(INDEX(年齢階層×在院期間区分F00F01＿寛解・院内寛解[#All],MATCH($AK12,年齢階層×在院期間区分F00F01＿寛解・院内寛解[[#All],[行ラベル]],0),MATCH($AM$3,年齢階層×在院期間区分F00F01＿寛解・院内寛解[#Headers],0)),0)+IFERROR(INDEX(年齢階層×在院期間区分F00F01＿寛解・院内寛解[#All],MATCH($AK12,年齢階層×在院期間区分F00F01＿寛解・院内寛解[[#All],[行ラベル]],0),MATCH($AN$3,年齢階層×在院期間区分F00F01＿寛解・院内寛解[#Headers],0)),0)+IFERROR(INDEX(年齢階層×在院期間区分F00F01＿寛解・院内寛解[#All],MATCH($AK12,年齢階層×在院期間区分F00F01＿寛解・院内寛解[[#All],[行ラベル]],0),MATCH($AO$3,年齢階層×在院期間区分F00F01＿寛解・院内寛解[#Headers],0)),0)</f>
        <v>14</v>
      </c>
      <c r="D28" s="213">
        <f t="shared" si="7"/>
        <v>0.13333333333333333</v>
      </c>
      <c r="E28" s="211">
        <f>IFERROR(INDEX(年齢階層×在院期間区分F00F01＿寛解・院内寛解[#All],MATCH($AK12,年齢階層×在院期間区分F00F01＿寛解・院内寛解[[#All],[行ラベル]],0),MATCH($AP$3,年齢階層×在院期間区分F00F01＿寛解・院内寛解[#Headers],0)),0)+IFERROR(INDEX(年齢階層×在院期間区分F00F01＿寛解・院内寛解[#All],MATCH($AK12,年齢階層×在院期間区分F00F01＿寛解・院内寛解[[#All],[行ラベル]],0),MATCH($AQ$3,年齢階層×在院期間区分F00F01＿寛解・院内寛解[#Headers],0)),0)+IFERROR(INDEX(年齢階層×在院期間区分F00F01＿寛解・院内寛解[#All],MATCH($AK12,年齢階層×在院期間区分F00F01＿寛解・院内寛解[[#All],[行ラベル]],0),MATCH($AR$3,年齢階層×在院期間区分F00F01＿寛解・院内寛解[#Headers],0)),0)+IFERROR(INDEX(年齢階層×在院期間区分F00F01＿寛解・院内寛解[#All],MATCH($AK12,年齢階層×在院期間区分F00F01＿寛解・院内寛解[[#All],[行ラベル]],0),MATCH($AS$3,年齢階層×在院期間区分F00F01＿寛解・院内寛解[#Headers],0)),0)+IFERROR(INDEX(年齢階層×在院期間区分F00F01＿寛解・院内寛解[#All],MATCH($AK12,年齢階層×在院期間区分F00F01＿寛解・院内寛解[[#All],[行ラベル]],0),MATCH($AT$3,年齢階層×在院期間区分F00F01＿寛解・院内寛解[#Headers],0)),0)</f>
        <v>5</v>
      </c>
      <c r="F28" s="213">
        <f t="shared" si="8"/>
        <v>0.16129032258064516</v>
      </c>
      <c r="G28" s="234">
        <f>IFERROR(INDEX(年齢階層×在院期間区分F00F01＿寛解・院内寛解[#All],MATCH($AK12,年齢階層×在院期間区分F00F01＿寛解・院内寛解[[#All],[行ラベル]],0),MATCH($AU$3,年齢階層×在院期間区分F00F01＿寛解・院内寛解[#Headers],0)),0)+IFERROR(INDEX(年齢階層×在院期間区分F00F01＿寛解・院内寛解[#All],MATCH($AK12,年齢階層×在院期間区分F00F01＿寛解・院内寛解[[#All],[行ラベル]],0),MATCH($AV$3,年齢階層×在院期間区分F00F01＿寛解・院内寛解[#Headers],0)),0)+IFERROR(INDEX(年齢階層×在院期間区分F00F01＿寛解・院内寛解[#All],MATCH($AK12,年齢階層×在院期間区分F00F01＿寛解・院内寛解[[#All],[行ラベル]],0),MATCH($AW$3,年齢階層×在院期間区分F00F01＿寛解・院内寛解[#Headers],0)),0)+IFERROR(INDEX(年齢階層×在院期間区分F00F01＿寛解・院内寛解[#All],MATCH($AK12,年齢階層×在院期間区分F00F01＿寛解・院内寛解[[#All],[行ラベル]],0),MATCH($AX$3,年齢階層×在院期間区分F00F01＿寛解・院内寛解[#Headers],0)),0)+IFERROR(INDEX(年齢階層×在院期間区分F00F01＿寛解・院内寛解[#All],MATCH($AK12,年齢階層×在院期間区分F00F01＿寛解・院内寛解[[#All],[行ラベル]],0),MATCH($AY$3,年齢階層×在院期間区分F00F01＿寛解・院内寛解[#Headers],0)),0)</f>
        <v>0</v>
      </c>
      <c r="H28" s="213">
        <f t="shared" si="9"/>
        <v>0</v>
      </c>
      <c r="I28" s="234">
        <f>IFERROR(INDEX(年齢階層×在院期間区分F00F01＿寛解・院内寛解[#All],MATCH($AK12,年齢階層×在院期間区分F00F01＿寛解・院内寛解[[#All],[行ラベル]],0),MATCH($AZ$3,年齢階層×在院期間区分F00F01＿寛解・院内寛解[#Headers],0)),0)+IFERROR(INDEX(年齢階層×在院期間区分F00F01＿寛解・院内寛解[#All],MATCH($AK12,年齢階層×在院期間区分F00F01＿寛解・院内寛解[[#All],[行ラベル]],0),MATCH($BA$3,年齢階層×在院期間区分F00F01＿寛解・院内寛解[#Headers],0)),0)</f>
        <v>1</v>
      </c>
      <c r="J28" s="213">
        <f t="shared" si="10"/>
        <v>0.5</v>
      </c>
      <c r="K28" s="211">
        <f t="shared" si="11"/>
        <v>20</v>
      </c>
      <c r="L28" s="213">
        <f t="shared" si="12"/>
        <v>0.14084507042253522</v>
      </c>
      <c r="M28" s="78"/>
      <c r="O28" s="54"/>
      <c r="P28" s="66"/>
      <c r="Q28" s="66"/>
      <c r="R28" s="66"/>
      <c r="S28" s="66"/>
      <c r="T28" s="66"/>
      <c r="U28" s="66"/>
      <c r="V28" s="66"/>
      <c r="W28" s="66"/>
      <c r="X28" s="66"/>
      <c r="Y28" s="66"/>
      <c r="Z28" s="66"/>
      <c r="AA28" s="66"/>
      <c r="AB28" s="66"/>
      <c r="AC28" s="66"/>
      <c r="AD28" s="66"/>
      <c r="AE28" s="66"/>
      <c r="AK28" s="54" t="s">
        <v>10</v>
      </c>
    </row>
    <row r="29" spans="2:41" s="22" customFormat="1" ht="18.75" customHeight="1" thickTop="1" thickBot="1" x14ac:dyDescent="0.2">
      <c r="B29" s="235" t="s">
        <v>161</v>
      </c>
      <c r="C29" s="236">
        <f t="shared" ref="C29:L29" si="13">SUM(C20:C28)</f>
        <v>105</v>
      </c>
      <c r="D29" s="243">
        <f t="shared" si="13"/>
        <v>1</v>
      </c>
      <c r="E29" s="236">
        <f t="shared" si="13"/>
        <v>31</v>
      </c>
      <c r="F29" s="243">
        <f t="shared" si="13"/>
        <v>0.99999999999999989</v>
      </c>
      <c r="G29" s="236">
        <f t="shared" si="13"/>
        <v>4</v>
      </c>
      <c r="H29" s="243">
        <f t="shared" si="13"/>
        <v>1</v>
      </c>
      <c r="I29" s="236">
        <f t="shared" si="13"/>
        <v>2</v>
      </c>
      <c r="J29" s="243">
        <f t="shared" si="13"/>
        <v>1</v>
      </c>
      <c r="K29" s="236">
        <f t="shared" si="13"/>
        <v>142</v>
      </c>
      <c r="L29" s="243">
        <f t="shared" si="13"/>
        <v>1</v>
      </c>
      <c r="O29" s="429" t="s">
        <v>308</v>
      </c>
      <c r="P29" s="503" t="s">
        <v>182</v>
      </c>
      <c r="Q29" s="503" t="s">
        <v>183</v>
      </c>
      <c r="R29" s="503" t="s">
        <v>184</v>
      </c>
      <c r="S29" s="503" t="s">
        <v>185</v>
      </c>
      <c r="T29" s="503" t="s">
        <v>186</v>
      </c>
      <c r="U29" s="503" t="s">
        <v>187</v>
      </c>
      <c r="V29" s="503" t="s">
        <v>188</v>
      </c>
      <c r="W29" s="503" t="s">
        <v>189</v>
      </c>
      <c r="X29" s="503" t="s">
        <v>190</v>
      </c>
      <c r="Y29" s="503" t="s">
        <v>192</v>
      </c>
      <c r="Z29" s="503" t="s">
        <v>194</v>
      </c>
      <c r="AA29" s="503" t="s">
        <v>196</v>
      </c>
      <c r="AB29" s="503" t="s">
        <v>363</v>
      </c>
      <c r="AC29" s="503" t="s">
        <v>364</v>
      </c>
      <c r="AD29" s="503" t="s">
        <v>365</v>
      </c>
      <c r="AE29" s="56" t="s">
        <v>368</v>
      </c>
      <c r="AO29" s="59"/>
    </row>
    <row r="30" spans="2:41" s="22" customFormat="1" ht="18.75" customHeight="1" thickTop="1" x14ac:dyDescent="0.15">
      <c r="B30" s="238" t="s">
        <v>93</v>
      </c>
      <c r="C30" s="239">
        <f>IFERROR(INDEX(年齢階層×在院期間区分F00F01_65歳未満以上＿寛解・院内寛解[#All],MATCH($AK30,年齢階層×在院期間区分F00F01_65歳未満以上＿寛解・院内寛解[[#All],[列1]],0),MATCH($AL$3,年齢階層×在院期間区分F00F01_65歳未満以上＿寛解・院内寛解[#Headers],0)),0)+IFERROR(INDEX(年齢階層×在院期間区分F00F01_65歳未満以上＿寛解・院内寛解[#All],MATCH($AK30,年齢階層×在院期間区分F00F01_65歳未満以上＿寛解・院内寛解[[#All],[列1]],0),MATCH($AM$3,年齢階層×在院期間区分F00F01_65歳未満以上＿寛解・院内寛解[#Headers],0)),0)+IFERROR(INDEX(年齢階層×在院期間区分F00F01_65歳未満以上＿寛解・院内寛解[#All],MATCH($AK30,年齢階層×在院期間区分F00F01_65歳未満以上＿寛解・院内寛解[[#All],[列1]],0),MATCH($AN$3,年齢階層×在院期間区分F00F01_65歳未満以上＿寛解・院内寛解[#Headers],0)),0)+IFERROR(INDEX(年齢階層×在院期間区分F00F01_65歳未満以上＿寛解・院内寛解[#All],MATCH($AK30,年齢階層×在院期間区分F00F01_65歳未満以上＿寛解・院内寛解[[#All],[列1]],0),MATCH($AO$3,年齢階層×在院期間区分F00F01_65歳未満以上＿寛解・院内寛解[#Headers],0)),0)</f>
        <v>2</v>
      </c>
      <c r="D30" s="224">
        <f>IFERROR(C30/$C$29,"-")</f>
        <v>1.9047619047619049E-2</v>
      </c>
      <c r="E30" s="239">
        <f>IFERROR(INDEX(年齢階層×在院期間区分F00F01_65歳未満以上＿寛解・院内寛解[#All],MATCH($AK30,年齢階層×在院期間区分F00F01_65歳未満以上＿寛解・院内寛解[[#All],[列1]],0),MATCH($AP$3,年齢階層×在院期間区分F00F01_65歳未満以上＿寛解・院内寛解[#Headers],0)),0)+IFERROR(INDEX(年齢階層×在院期間区分F00F01_65歳未満以上＿寛解・院内寛解[#All],MATCH($AK30,年齢階層×在院期間区分F00F01_65歳未満以上＿寛解・院内寛解[[#All],[列1]],0),MATCH($AQ$3,年齢階層×在院期間区分F00F01_65歳未満以上＿寛解・院内寛解[#Headers],0)),0)+IFERROR(INDEX(年齢階層×在院期間区分F00F01_65歳未満以上＿寛解・院内寛解[#All],MATCH($AK30,年齢階層×在院期間区分F00F01_65歳未満以上＿寛解・院内寛解[[#All],[列1]],0),MATCH($AR$3,年齢階層×在院期間区分F00F01_65歳未満以上＿寛解・院内寛解[#Headers],0)),0)+IFERROR(INDEX(年齢階層×在院期間区分F00F01_65歳未満以上＿寛解・院内寛解[#All],MATCH($AK30,年齢階層×在院期間区分F00F01_65歳未満以上＿寛解・院内寛解[[#All],[列1]],0),MATCH($AS$3,年齢階層×在院期間区分F00F01_65歳未満以上＿寛解・院内寛解[#Headers],0)),0)+IFERROR(INDEX(年齢階層×在院期間区分F00F01_65歳未満以上＿寛解・院内寛解[#All],MATCH($AK30,年齢階層×在院期間区分F00F01_65歳未満以上＿寛解・院内寛解[[#All],[列1]],0),MATCH($AT$3,年齢階層×在院期間区分F00F01_65歳未満以上＿寛解・院内寛解[#Headers],0)),0)</f>
        <v>1</v>
      </c>
      <c r="F30" s="224">
        <f>IFERROR(E30/$E$29,"-")</f>
        <v>3.2258064516129031E-2</v>
      </c>
      <c r="G30" s="239">
        <f>IFERROR(INDEX(年齢階層×在院期間区分F00F01_65歳未満以上＿寛解・院内寛解[#All],MATCH($AK30,年齢階層×在院期間区分F00F01_65歳未満以上＿寛解・院内寛解[[#All],[列1]],0),MATCH($AU$3,年齢階層×在院期間区分F00F01_65歳未満以上＿寛解・院内寛解[#Headers],0)),0)+IFERROR(INDEX(年齢階層×在院期間区分F00F01_65歳未満以上＿寛解・院内寛解[#All],MATCH($AK30,年齢階層×在院期間区分F00F01_65歳未満以上＿寛解・院内寛解[[#All],[列1]],0),MATCH($AV$3,年齢階層×在院期間区分F00F01_65歳未満以上＿寛解・院内寛解[#Headers],0)),0)+IFERROR(INDEX(年齢階層×在院期間区分F00F01_65歳未満以上＿寛解・院内寛解[#All],MATCH($AK30,年齢階層×在院期間区分F00F01_65歳未満以上＿寛解・院内寛解[[#All],[列1]],0),MATCH($AW$3,年齢階層×在院期間区分F00F01_65歳未満以上＿寛解・院内寛解[#Headers],0)),0)+IFERROR(INDEX(年齢階層×在院期間区分F00F01_65歳未満以上＿寛解・院内寛解[#All],MATCH($AK30,年齢階層×在院期間区分F00F01_65歳未満以上＿寛解・院内寛解[[#All],[列1]],0),MATCH($AX$3,年齢階層×在院期間区分F00F01_65歳未満以上＿寛解・院内寛解[#Headers],0)),0)+IFERROR(INDEX(年齢階層×在院期間区分F00F01_65歳未満以上＿寛解・院内寛解[#All],MATCH($AK30,年齢階層×在院期間区分F00F01_65歳未満以上＿寛解・院内寛解[[#All],[列1]],0),MATCH($AY$3,年齢階層×在院期間区分F00F01_65歳未満以上＿寛解・院内寛解[#Headers],0)),0)</f>
        <v>0</v>
      </c>
      <c r="H30" s="224">
        <f>IFERROR(G30/$G$29,"-")</f>
        <v>0</v>
      </c>
      <c r="I30" s="239">
        <f>IFERROR(INDEX(年齢階層×在院期間区分F00F01_65歳未満以上＿寛解・院内寛解[#All],MATCH($AK30,年齢階層×在院期間区分F00F01_65歳未満以上＿寛解・院内寛解[[#All],[列1]],0),MATCH($AZ$3,年齢階層×在院期間区分F00F01_65歳未満以上＿寛解・院内寛解[#Headers],0)),0)+IFERROR(INDEX(年齢階層×在院期間区分F00F01_65歳未満以上＿寛解・院内寛解[#All],MATCH($AK30,年齢階層×在院期間区分F00F01_65歳未満以上＿寛解・院内寛解[[#All],[列1]],0),MATCH($BA$3,年齢階層×在院期間区分F00F01_65歳未満以上＿寛解・院内寛解[#Headers],0)),0)</f>
        <v>0</v>
      </c>
      <c r="J30" s="224">
        <f>IFERROR(I30/$I$29,"-")</f>
        <v>0</v>
      </c>
      <c r="K30" s="239">
        <f>C30+E30+G30+I30</f>
        <v>3</v>
      </c>
      <c r="L30" s="224">
        <f>IFERROR(K30/$K$29,"-")</f>
        <v>2.1126760563380281E-2</v>
      </c>
      <c r="O30" s="54" t="s">
        <v>307</v>
      </c>
      <c r="P30" s="66">
        <v>24</v>
      </c>
      <c r="Q30" s="66">
        <v>35</v>
      </c>
      <c r="R30" s="66">
        <v>25</v>
      </c>
      <c r="S30" s="66">
        <v>19</v>
      </c>
      <c r="T30" s="66">
        <v>7</v>
      </c>
      <c r="U30" s="66">
        <v>7</v>
      </c>
      <c r="V30" s="66">
        <v>7</v>
      </c>
      <c r="W30" s="66">
        <v>6</v>
      </c>
      <c r="X30" s="66">
        <v>3</v>
      </c>
      <c r="Y30" s="66">
        <v>2</v>
      </c>
      <c r="Z30" s="66">
        <v>2</v>
      </c>
      <c r="AA30" s="66">
        <v>2</v>
      </c>
      <c r="AB30" s="66"/>
      <c r="AC30" s="66"/>
      <c r="AD30" s="66"/>
      <c r="AE30" s="66"/>
      <c r="AK30" s="83" t="s">
        <v>156</v>
      </c>
    </row>
    <row r="31" spans="2:41" ht="18.75" customHeight="1" x14ac:dyDescent="0.15">
      <c r="B31" s="240" t="s">
        <v>89</v>
      </c>
      <c r="C31" s="239">
        <f>IFERROR(INDEX(年齢階層×在院期間区分F00F01_65歳未満以上＿寛解・院内寛解[#All],MATCH($AK31,年齢階層×在院期間区分F00F01_65歳未満以上＿寛解・院内寛解[[#All],[列1]],0),MATCH($AL$3,年齢階層×在院期間区分F00F01_65歳未満以上＿寛解・院内寛解[#Headers],0)),0)+IFERROR(INDEX(年齢階層×在院期間区分F00F01_65歳未満以上＿寛解・院内寛解[#All],MATCH($AK31,年齢階層×在院期間区分F00F01_65歳未満以上＿寛解・院内寛解[[#All],[列1]],0),MATCH($AM$3,年齢階層×在院期間区分F00F01_65歳未満以上＿寛解・院内寛解[#Headers],0)),0)+IFERROR(INDEX(年齢階層×在院期間区分F00F01_65歳未満以上＿寛解・院内寛解[#All],MATCH($AK31,年齢階層×在院期間区分F00F01_65歳未満以上＿寛解・院内寛解[[#All],[列1]],0),MATCH($AN$3,年齢階層×在院期間区分F00F01_65歳未満以上＿寛解・院内寛解[#Headers],0)),0)+IFERROR(INDEX(年齢階層×在院期間区分F00F01_65歳未満以上＿寛解・院内寛解[#All],MATCH($AK31,年齢階層×在院期間区分F00F01_65歳未満以上＿寛解・院内寛解[[#All],[列1]],0),MATCH($AO$3,年齢階層×在院期間区分F00F01_65歳未満以上＿寛解・院内寛解[#Headers],0)),0)</f>
        <v>103</v>
      </c>
      <c r="D31" s="241">
        <f>IFERROR(C31/$C$29,"-")</f>
        <v>0.98095238095238091</v>
      </c>
      <c r="E31" s="239">
        <f>IFERROR(INDEX(年齢階層×在院期間区分F00F01_65歳未満以上＿寛解・院内寛解[#All],MATCH($AK31,年齢階層×在院期間区分F00F01_65歳未満以上＿寛解・院内寛解[[#All],[列1]],0),MATCH($AP$3,年齢階層×在院期間区分F00F01_65歳未満以上＿寛解・院内寛解[#Headers],0)),0)+IFERROR(INDEX(年齢階層×在院期間区分F00F01_65歳未満以上＿寛解・院内寛解[#All],MATCH($AK31,年齢階層×在院期間区分F00F01_65歳未満以上＿寛解・院内寛解[[#All],[列1]],0),MATCH($AQ$3,年齢階層×在院期間区分F00F01_65歳未満以上＿寛解・院内寛解[#Headers],0)),0)+IFERROR(INDEX(年齢階層×在院期間区分F00F01_65歳未満以上＿寛解・院内寛解[#All],MATCH($AK31,年齢階層×在院期間区分F00F01_65歳未満以上＿寛解・院内寛解[[#All],[列1]],0),MATCH($AR$3,年齢階層×在院期間区分F00F01_65歳未満以上＿寛解・院内寛解[#Headers],0)),0)+IFERROR(INDEX(年齢階層×在院期間区分F00F01_65歳未満以上＿寛解・院内寛解[#All],MATCH($AK31,年齢階層×在院期間区分F00F01_65歳未満以上＿寛解・院内寛解[[#All],[列1]],0),MATCH($AS$3,年齢階層×在院期間区分F00F01_65歳未満以上＿寛解・院内寛解[#Headers],0)),0)+IFERROR(INDEX(年齢階層×在院期間区分F00F01_65歳未満以上＿寛解・院内寛解[#All],MATCH($AK31,年齢階層×在院期間区分F00F01_65歳未満以上＿寛解・院内寛解[[#All],[列1]],0),MATCH($AT$3,年齢階層×在院期間区分F00F01_65歳未満以上＿寛解・院内寛解[#Headers],0)),0)</f>
        <v>30</v>
      </c>
      <c r="F31" s="241">
        <f>IFERROR(E31/$E$29,"-")</f>
        <v>0.967741935483871</v>
      </c>
      <c r="G31" s="239">
        <f>IFERROR(INDEX(年齢階層×在院期間区分F00F01_65歳未満以上＿寛解・院内寛解[#All],MATCH($AK31,年齢階層×在院期間区分F00F01_65歳未満以上＿寛解・院内寛解[[#All],[列1]],0),MATCH($AU$3,年齢階層×在院期間区分F00F01_65歳未満以上＿寛解・院内寛解[#Headers],0)),0)+IFERROR(INDEX(年齢階層×在院期間区分F00F01_65歳未満以上＿寛解・院内寛解[#All],MATCH($AK31,年齢階層×在院期間区分F00F01_65歳未満以上＿寛解・院内寛解[[#All],[列1]],0),MATCH($AV$3,年齢階層×在院期間区分F00F01_65歳未満以上＿寛解・院内寛解[#Headers],0)),0)+IFERROR(INDEX(年齢階層×在院期間区分F00F01_65歳未満以上＿寛解・院内寛解[#All],MATCH($AK31,年齢階層×在院期間区分F00F01_65歳未満以上＿寛解・院内寛解[[#All],[列1]],0),MATCH($AW$3,年齢階層×在院期間区分F00F01_65歳未満以上＿寛解・院内寛解[#Headers],0)),0)+IFERROR(INDEX(年齢階層×在院期間区分F00F01_65歳未満以上＿寛解・院内寛解[#All],MATCH($AK31,年齢階層×在院期間区分F00F01_65歳未満以上＿寛解・院内寛解[[#All],[列1]],0),MATCH($AX$3,年齢階層×在院期間区分F00F01_65歳未満以上＿寛解・院内寛解[#Headers],0)),0)+IFERROR(INDEX(年齢階層×在院期間区分F00F01_65歳未満以上＿寛解・院内寛解[#All],MATCH($AK31,年齢階層×在院期間区分F00F01_65歳未満以上＿寛解・院内寛解[[#All],[列1]],0),MATCH($AY$3,年齢階層×在院期間区分F00F01_65歳未満以上＿寛解・院内寛解[#Headers],0)),0)</f>
        <v>4</v>
      </c>
      <c r="H31" s="241">
        <f>IFERROR(G31/$G$29,"-")</f>
        <v>1</v>
      </c>
      <c r="I31" s="239">
        <f>IFERROR(INDEX(年齢階層×在院期間区分F00F01_65歳未満以上＿寛解・院内寛解[#All],MATCH($AK31,年齢階層×在院期間区分F00F01_65歳未満以上＿寛解・院内寛解[[#All],[列1]],0),MATCH($AZ$3,年齢階層×在院期間区分F00F01_65歳未満以上＿寛解・院内寛解[#Headers],0)),0)+IFERROR(INDEX(年齢階層×在院期間区分F00F01_65歳未満以上＿寛解・院内寛解[#All],MATCH($AK31,年齢階層×在院期間区分F00F01_65歳未満以上＿寛解・院内寛解[[#All],[列1]],0),MATCH($BA$3,年齢階層×在院期間区分F00F01_65歳未満以上＿寛解・院内寛解[#Headers],0)),0)</f>
        <v>2</v>
      </c>
      <c r="J31" s="241">
        <f>IFERROR(I31/$I$29,"-")</f>
        <v>1</v>
      </c>
      <c r="K31" s="239">
        <f>C31+E31+G31+I31</f>
        <v>139</v>
      </c>
      <c r="L31" s="241">
        <f>IFERROR(K31/$K$29,"-")</f>
        <v>0.97887323943661975</v>
      </c>
      <c r="O31" s="83" t="s">
        <v>306</v>
      </c>
      <c r="P31" s="66">
        <v>2</v>
      </c>
      <c r="Q31" s="66">
        <v>0</v>
      </c>
      <c r="R31" s="66">
        <v>0</v>
      </c>
      <c r="S31" s="66">
        <v>0</v>
      </c>
      <c r="T31" s="66">
        <v>0</v>
      </c>
      <c r="U31" s="66">
        <v>1</v>
      </c>
      <c r="V31" s="66">
        <v>0</v>
      </c>
      <c r="W31" s="66">
        <v>0</v>
      </c>
      <c r="X31" s="66">
        <v>0</v>
      </c>
      <c r="Y31" s="66">
        <v>0</v>
      </c>
      <c r="Z31" s="66">
        <v>0</v>
      </c>
      <c r="AA31" s="66">
        <v>0</v>
      </c>
      <c r="AB31" s="66"/>
      <c r="AC31" s="66"/>
      <c r="AD31" s="66"/>
      <c r="AE31" s="66"/>
      <c r="AK31" s="83" t="s">
        <v>88</v>
      </c>
    </row>
    <row r="32" spans="2:41" ht="18.75" customHeight="1" x14ac:dyDescent="0.15">
      <c r="F32" s="67"/>
      <c r="H32" s="67"/>
      <c r="J32" s="67"/>
      <c r="K32" s="45"/>
    </row>
    <row r="33" spans="2:49" ht="18.75" customHeight="1" x14ac:dyDescent="0.15"/>
    <row r="34" spans="2:49" ht="18.75" hidden="1" customHeight="1" x14ac:dyDescent="0.15">
      <c r="C34" s="53"/>
      <c r="D34" s="62"/>
      <c r="E34" s="62"/>
      <c r="F34" s="62"/>
      <c r="G34" s="62"/>
      <c r="H34" s="62"/>
      <c r="I34" s="62"/>
      <c r="J34" s="62"/>
      <c r="K34" s="62"/>
      <c r="L34" s="62"/>
      <c r="M34" s="62"/>
      <c r="N34" s="62"/>
      <c r="O34" s="62"/>
      <c r="P34" s="62"/>
      <c r="Q34" s="62"/>
      <c r="R34" s="84"/>
    </row>
    <row r="35" spans="2:49" x14ac:dyDescent="0.15">
      <c r="B35" s="38"/>
      <c r="C35" s="23"/>
      <c r="D35" s="23"/>
      <c r="E35" s="23"/>
      <c r="F35" s="23"/>
      <c r="G35" s="23"/>
      <c r="H35" s="23"/>
      <c r="I35" s="23"/>
      <c r="J35" s="23"/>
      <c r="K35" s="23"/>
      <c r="L35" s="23"/>
      <c r="M35" s="23"/>
      <c r="N35" s="23"/>
      <c r="O35" s="23"/>
      <c r="P35" s="23"/>
      <c r="Q35" s="23"/>
      <c r="R35" s="23"/>
      <c r="S35" s="23"/>
    </row>
    <row r="36" spans="2:49" x14ac:dyDescent="0.15">
      <c r="B36" s="38"/>
      <c r="C36" s="23"/>
      <c r="D36" s="23"/>
      <c r="E36" s="23"/>
      <c r="F36" s="23"/>
      <c r="G36" s="23"/>
      <c r="H36" s="23"/>
      <c r="I36" s="23"/>
      <c r="J36" s="23"/>
      <c r="K36" s="23"/>
      <c r="L36" s="23"/>
      <c r="M36" s="23"/>
      <c r="N36" s="23"/>
      <c r="O36" s="23"/>
      <c r="P36" s="23"/>
      <c r="Q36" s="23"/>
      <c r="R36" s="23"/>
      <c r="S36" s="23"/>
    </row>
    <row r="37" spans="2:49" x14ac:dyDescent="0.15">
      <c r="B37" s="50"/>
      <c r="C37" s="85"/>
      <c r="D37" s="85"/>
      <c r="E37" s="85"/>
      <c r="F37" s="85"/>
      <c r="G37" s="85"/>
      <c r="H37" s="85"/>
      <c r="I37" s="85"/>
      <c r="J37" s="85"/>
      <c r="K37" s="85"/>
      <c r="L37" s="85"/>
      <c r="M37" s="85"/>
      <c r="N37" s="85"/>
      <c r="O37" s="85"/>
      <c r="P37" s="85"/>
      <c r="Q37" s="85"/>
      <c r="R37" s="85"/>
      <c r="S37" s="85"/>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row>
    <row r="38" spans="2:49" ht="35.25" customHeight="1" x14ac:dyDescent="0.1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row>
    <row r="39" spans="2:49" x14ac:dyDescent="0.15">
      <c r="B39" s="7"/>
      <c r="C39" s="86"/>
      <c r="D39" s="86"/>
      <c r="E39" s="86"/>
      <c r="F39" s="86"/>
      <c r="G39" s="86"/>
      <c r="H39" s="86"/>
      <c r="I39" s="86"/>
      <c r="J39" s="86"/>
      <c r="K39" s="86"/>
      <c r="L39" s="86"/>
      <c r="M39" s="86"/>
      <c r="N39" s="86"/>
      <c r="O39" s="86"/>
      <c r="P39" s="86"/>
      <c r="Q39" s="86"/>
      <c r="R39" s="86"/>
      <c r="S39" s="86"/>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row>
    <row r="40" spans="2:49" x14ac:dyDescent="0.15">
      <c r="B40" s="7"/>
      <c r="C40" s="86"/>
      <c r="D40" s="86"/>
      <c r="E40" s="86"/>
      <c r="F40" s="86"/>
      <c r="G40" s="86"/>
      <c r="H40" s="86"/>
      <c r="I40" s="86"/>
      <c r="J40" s="86"/>
      <c r="K40" s="86"/>
      <c r="L40" s="86"/>
      <c r="M40" s="86"/>
      <c r="N40" s="86"/>
      <c r="O40" s="86"/>
      <c r="P40" s="86"/>
      <c r="Q40" s="86"/>
      <c r="R40" s="86"/>
      <c r="S40" s="86"/>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row>
    <row r="41" spans="2:49" x14ac:dyDescent="0.15">
      <c r="B41" s="7"/>
      <c r="C41" s="86"/>
      <c r="D41" s="86"/>
      <c r="E41" s="86"/>
      <c r="F41" s="86"/>
      <c r="G41" s="86"/>
      <c r="H41" s="86"/>
      <c r="I41" s="86"/>
      <c r="J41" s="86"/>
      <c r="K41" s="86"/>
      <c r="L41" s="86"/>
      <c r="M41" s="86"/>
      <c r="N41" s="86"/>
      <c r="O41" s="86"/>
      <c r="P41" s="86"/>
      <c r="Q41" s="86"/>
      <c r="R41" s="86"/>
      <c r="S41" s="86"/>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row>
    <row r="42" spans="2:49" x14ac:dyDescent="0.1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row>
    <row r="43" spans="2:49" x14ac:dyDescent="0.1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row>
    <row r="44" spans="2:49" x14ac:dyDescent="0.1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row>
    <row r="45" spans="2:49" x14ac:dyDescent="0.1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row>
    <row r="46" spans="2:49" x14ac:dyDescent="0.1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row>
    <row r="47" spans="2:49" x14ac:dyDescent="0.1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row>
    <row r="48" spans="2:49" x14ac:dyDescent="0.1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row>
    <row r="49" spans="2:49" x14ac:dyDescent="0.1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row>
    <row r="50" spans="2:49" x14ac:dyDescent="0.1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row>
    <row r="51" spans="2:49" x14ac:dyDescent="0.1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row>
    <row r="52" spans="2:49" x14ac:dyDescent="0.1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row>
    <row r="53" spans="2:49" x14ac:dyDescent="0.1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row>
    <row r="54" spans="2:49" x14ac:dyDescent="0.1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row>
    <row r="55" spans="2:49" x14ac:dyDescent="0.1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row>
    <row r="56" spans="2:49" x14ac:dyDescent="0.1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row>
    <row r="57" spans="2:49" x14ac:dyDescent="0.1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row>
    <row r="58" spans="2:49" x14ac:dyDescent="0.1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row>
    <row r="59" spans="2:49" x14ac:dyDescent="0.1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row>
    <row r="60" spans="2:49" x14ac:dyDescent="0.1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row>
    <row r="61" spans="2:49" x14ac:dyDescent="0.1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row>
    <row r="62" spans="2:49" x14ac:dyDescent="0.1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row>
    <row r="63" spans="2:49" x14ac:dyDescent="0.1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row>
    <row r="64" spans="2:49" x14ac:dyDescent="0.1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row>
    <row r="65" spans="2:49" x14ac:dyDescent="0.1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row>
    <row r="66" spans="2:49" x14ac:dyDescent="0.1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row>
    <row r="67" spans="2:49" x14ac:dyDescent="0.1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row>
    <row r="68" spans="2:49" x14ac:dyDescent="0.1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row>
    <row r="69" spans="2:49" x14ac:dyDescent="0.1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row>
    <row r="70" spans="2:49" x14ac:dyDescent="0.1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row>
    <row r="71" spans="2:49" x14ac:dyDescent="0.1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row>
    <row r="72" spans="2:49" x14ac:dyDescent="0.1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row>
    <row r="73" spans="2:49" x14ac:dyDescent="0.1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row>
    <row r="74" spans="2:49" x14ac:dyDescent="0.1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row>
    <row r="75" spans="2:49" x14ac:dyDescent="0.1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row>
    <row r="76" spans="2:49" x14ac:dyDescent="0.1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row>
    <row r="77" spans="2:49" x14ac:dyDescent="0.1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row>
    <row r="78" spans="2:49" x14ac:dyDescent="0.1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row>
    <row r="79" spans="2:49" x14ac:dyDescent="0.1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row>
    <row r="80" spans="2:49" x14ac:dyDescent="0.1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row>
    <row r="81" spans="2:49" x14ac:dyDescent="0.1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row>
    <row r="82" spans="2:49" x14ac:dyDescent="0.1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row>
    <row r="83" spans="2:49" x14ac:dyDescent="0.1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row>
    <row r="84" spans="2:49" x14ac:dyDescent="0.1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row>
    <row r="85" spans="2:49" x14ac:dyDescent="0.1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row>
    <row r="86" spans="2:49" x14ac:dyDescent="0.1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row>
    <row r="87" spans="2:49" x14ac:dyDescent="0.1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row>
    <row r="88" spans="2:49" x14ac:dyDescent="0.1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row>
    <row r="89" spans="2:49" x14ac:dyDescent="0.1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row>
    <row r="90" spans="2:49" x14ac:dyDescent="0.1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row>
    <row r="91" spans="2:49" x14ac:dyDescent="0.1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row>
    <row r="92" spans="2:49" x14ac:dyDescent="0.1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row>
    <row r="93" spans="2:49" x14ac:dyDescent="0.1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row>
    <row r="94" spans="2:49" x14ac:dyDescent="0.1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row>
    <row r="95" spans="2:49" x14ac:dyDescent="0.1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row>
    <row r="96" spans="2:49" x14ac:dyDescent="0.1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row>
    <row r="97" spans="2:49" x14ac:dyDescent="0.1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row>
    <row r="98" spans="2:49" x14ac:dyDescent="0.1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row>
    <row r="99" spans="2:49" x14ac:dyDescent="0.1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row>
    <row r="100" spans="2:49" x14ac:dyDescent="0.1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row>
    <row r="101" spans="2:49" x14ac:dyDescent="0.1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row>
    <row r="102" spans="2:49" x14ac:dyDescent="0.1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row>
    <row r="103" spans="2:49" x14ac:dyDescent="0.1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row>
    <row r="104" spans="2:49" x14ac:dyDescent="0.1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row>
    <row r="105" spans="2:49" x14ac:dyDescent="0.1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row>
    <row r="106" spans="2:49" x14ac:dyDescent="0.1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row>
    <row r="107" spans="2:49" x14ac:dyDescent="0.1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row>
    <row r="108" spans="2:49" x14ac:dyDescent="0.1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row>
    <row r="109" spans="2:49" x14ac:dyDescent="0.1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row>
    <row r="110" spans="2:49" x14ac:dyDescent="0.1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row>
    <row r="111" spans="2:49" x14ac:dyDescent="0.1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row>
    <row r="112" spans="2:49" x14ac:dyDescent="0.1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row>
    <row r="113" spans="2:49" x14ac:dyDescent="0.1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row>
    <row r="114" spans="2:49" x14ac:dyDescent="0.1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row>
    <row r="115" spans="2:49" x14ac:dyDescent="0.1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row>
    <row r="116" spans="2:49" x14ac:dyDescent="0.1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row>
    <row r="117" spans="2:49" x14ac:dyDescent="0.1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row>
    <row r="118" spans="2:49" x14ac:dyDescent="0.1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row>
    <row r="119" spans="2:49" x14ac:dyDescent="0.1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row>
    <row r="120" spans="2:49" x14ac:dyDescent="0.1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row>
    <row r="121" spans="2:49" x14ac:dyDescent="0.1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row>
    <row r="122" spans="2:49" x14ac:dyDescent="0.1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row>
    <row r="123" spans="2:49" x14ac:dyDescent="0.1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row>
    <row r="124" spans="2:49" x14ac:dyDescent="0.1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row>
    <row r="125" spans="2:49" x14ac:dyDescent="0.1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row>
    <row r="126" spans="2:49" x14ac:dyDescent="0.1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row>
    <row r="127" spans="2:49" x14ac:dyDescent="0.1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row>
    <row r="128" spans="2:49" x14ac:dyDescent="0.1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row>
    <row r="129" spans="2:49" x14ac:dyDescent="0.1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row>
    <row r="130" spans="2:49" x14ac:dyDescent="0.1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row>
    <row r="131" spans="2:49" x14ac:dyDescent="0.1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row>
    <row r="132" spans="2:49" x14ac:dyDescent="0.1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row>
    <row r="133" spans="2:49" x14ac:dyDescent="0.1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row>
    <row r="134" spans="2:49" x14ac:dyDescent="0.1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row>
    <row r="135" spans="2:49" x14ac:dyDescent="0.1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row>
    <row r="136" spans="2:49" x14ac:dyDescent="0.1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row>
    <row r="137" spans="2:49" x14ac:dyDescent="0.1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row>
    <row r="138" spans="2:49" x14ac:dyDescent="0.1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row>
    <row r="139" spans="2:49" x14ac:dyDescent="0.1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row>
    <row r="140" spans="2:49" x14ac:dyDescent="0.1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row>
    <row r="141" spans="2:49" x14ac:dyDescent="0.1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row>
    <row r="142" spans="2:49" x14ac:dyDescent="0.1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row>
    <row r="143" spans="2:49" x14ac:dyDescent="0.1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row>
    <row r="144" spans="2:49" x14ac:dyDescent="0.1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row>
    <row r="145" spans="2:49" x14ac:dyDescent="0.1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row>
    <row r="146" spans="2:49" x14ac:dyDescent="0.1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row>
    <row r="147" spans="2:49" x14ac:dyDescent="0.1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row>
    <row r="148" spans="2:49" x14ac:dyDescent="0.1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row>
    <row r="149" spans="2:49" x14ac:dyDescent="0.1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row>
    <row r="150" spans="2:49" x14ac:dyDescent="0.1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row>
    <row r="151" spans="2:49" x14ac:dyDescent="0.1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row>
    <row r="152" spans="2:49" x14ac:dyDescent="0.1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row>
    <row r="153" spans="2:49" x14ac:dyDescent="0.1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row>
    <row r="154" spans="2:49" x14ac:dyDescent="0.1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row>
    <row r="155" spans="2:49" x14ac:dyDescent="0.1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row>
    <row r="156" spans="2:49" x14ac:dyDescent="0.1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row>
    <row r="157" spans="2:49" x14ac:dyDescent="0.1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row>
    <row r="158" spans="2:49" x14ac:dyDescent="0.1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row>
    <row r="159" spans="2:49" x14ac:dyDescent="0.1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row>
    <row r="160" spans="2:49" x14ac:dyDescent="0.1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row>
    <row r="161" spans="2:49" x14ac:dyDescent="0.1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row>
    <row r="162" spans="2:49" x14ac:dyDescent="0.1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row>
    <row r="163" spans="2:49" x14ac:dyDescent="0.1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row>
    <row r="164" spans="2:49" x14ac:dyDescent="0.1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row>
    <row r="165" spans="2:49" x14ac:dyDescent="0.1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row>
    <row r="166" spans="2:49" x14ac:dyDescent="0.1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row>
    <row r="167" spans="2:49" x14ac:dyDescent="0.1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row>
    <row r="168" spans="2:49" x14ac:dyDescent="0.1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row>
    <row r="169" spans="2:49" x14ac:dyDescent="0.1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row>
    <row r="170" spans="2:49" x14ac:dyDescent="0.1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row>
    <row r="171" spans="2:49" x14ac:dyDescent="0.1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row>
    <row r="172" spans="2:49" x14ac:dyDescent="0.1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row>
    <row r="173" spans="2:49" x14ac:dyDescent="0.1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row>
    <row r="174" spans="2:49" x14ac:dyDescent="0.1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row>
    <row r="175" spans="2:49" x14ac:dyDescent="0.1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row>
    <row r="176" spans="2:49" x14ac:dyDescent="0.1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row>
    <row r="177" spans="2:49" x14ac:dyDescent="0.1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row>
    <row r="178" spans="2:49" x14ac:dyDescent="0.1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row>
    <row r="179" spans="2:49" x14ac:dyDescent="0.1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row>
    <row r="180" spans="2:49" x14ac:dyDescent="0.1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row>
    <row r="181" spans="2:49" x14ac:dyDescent="0.1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row>
    <row r="182" spans="2:49" x14ac:dyDescent="0.1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row>
    <row r="183" spans="2:49" x14ac:dyDescent="0.1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row>
    <row r="184" spans="2:49" x14ac:dyDescent="0.1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row>
    <row r="185" spans="2:49" x14ac:dyDescent="0.1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row>
    <row r="186" spans="2:49" x14ac:dyDescent="0.1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row>
    <row r="187" spans="2:49" x14ac:dyDescent="0.1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row>
    <row r="188" spans="2:49" x14ac:dyDescent="0.1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row>
    <row r="189" spans="2:49" x14ac:dyDescent="0.1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row>
    <row r="190" spans="2:49" x14ac:dyDescent="0.1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row>
    <row r="191" spans="2:49" x14ac:dyDescent="0.1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row>
    <row r="192" spans="2:49" x14ac:dyDescent="0.1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row>
    <row r="193" spans="2:49" x14ac:dyDescent="0.1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row>
    <row r="194" spans="2:49" x14ac:dyDescent="0.1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row>
    <row r="195" spans="2:49" x14ac:dyDescent="0.1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row>
    <row r="196" spans="2:49" x14ac:dyDescent="0.1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row>
    <row r="197" spans="2:49" x14ac:dyDescent="0.1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row>
    <row r="198" spans="2:49" x14ac:dyDescent="0.1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row>
    <row r="199" spans="2:49" x14ac:dyDescent="0.1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row>
    <row r="200" spans="2:49" x14ac:dyDescent="0.1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row>
    <row r="201" spans="2:49" x14ac:dyDescent="0.1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row>
    <row r="202" spans="2:49" x14ac:dyDescent="0.1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row>
    <row r="203" spans="2:49" x14ac:dyDescent="0.1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row>
    <row r="204" spans="2:49" x14ac:dyDescent="0.1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row>
    <row r="205" spans="2:49" x14ac:dyDescent="0.1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row>
    <row r="206" spans="2:49" x14ac:dyDescent="0.1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row>
    <row r="207" spans="2:49" x14ac:dyDescent="0.1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row>
    <row r="208" spans="2:49" x14ac:dyDescent="0.1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row>
    <row r="209" spans="2:49" x14ac:dyDescent="0.1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row>
    <row r="210" spans="2:49" x14ac:dyDescent="0.1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row>
    <row r="211" spans="2:49" x14ac:dyDescent="0.1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row>
    <row r="212" spans="2:49" x14ac:dyDescent="0.1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row>
    <row r="213" spans="2:49" x14ac:dyDescent="0.1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row>
    <row r="214" spans="2:49" x14ac:dyDescent="0.1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row>
    <row r="215" spans="2:49" x14ac:dyDescent="0.1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row>
    <row r="216" spans="2:49" x14ac:dyDescent="0.1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row>
    <row r="217" spans="2:49" x14ac:dyDescent="0.1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row>
    <row r="218" spans="2:49" x14ac:dyDescent="0.1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row>
    <row r="219" spans="2:49" x14ac:dyDescent="0.1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row>
    <row r="220" spans="2:49" x14ac:dyDescent="0.1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row>
    <row r="221" spans="2:49" x14ac:dyDescent="0.1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row>
    <row r="222" spans="2:49" x14ac:dyDescent="0.1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row>
    <row r="223" spans="2:49" x14ac:dyDescent="0.1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row>
    <row r="224" spans="2:49" x14ac:dyDescent="0.1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row>
    <row r="225" spans="2:49" x14ac:dyDescent="0.1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row>
    <row r="226" spans="2:49" x14ac:dyDescent="0.1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row>
    <row r="227" spans="2:49" x14ac:dyDescent="0.1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row>
    <row r="228" spans="2:49" x14ac:dyDescent="0.1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row>
    <row r="229" spans="2:49" x14ac:dyDescent="0.1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row>
    <row r="230" spans="2:49" x14ac:dyDescent="0.1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row>
  </sheetData>
  <mergeCells count="14">
    <mergeCell ref="B18:B19"/>
    <mergeCell ref="C18:L18"/>
    <mergeCell ref="C19:D19"/>
    <mergeCell ref="E19:F19"/>
    <mergeCell ref="G19:H19"/>
    <mergeCell ref="I19:J19"/>
    <mergeCell ref="K19:L19"/>
    <mergeCell ref="B2:B3"/>
    <mergeCell ref="C2:L2"/>
    <mergeCell ref="C3:D3"/>
    <mergeCell ref="E3:F3"/>
    <mergeCell ref="G3:H3"/>
    <mergeCell ref="I3:J3"/>
    <mergeCell ref="K3:L3"/>
  </mergeCells>
  <phoneticPr fontId="2"/>
  <printOptions horizontalCentered="1"/>
  <pageMargins left="0.70866141732283472" right="0.70866141732283472" top="0.74803149606299213" bottom="0.74803149606299213" header="0.31496062992125984" footer="0.31496062992125984"/>
  <pageSetup paperSize="9" scale="92" orientation="landscape" r:id="rId1"/>
  <ignoredErrors>
    <ignoredError sqref="K13:L13 D13:J13 D29:L2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Button 1">
              <controlPr defaultSize="0" print="0" autoFill="0" autoPict="0" macro="[0]!データ削除22">
                <anchor moveWithCells="1" sizeWithCells="1">
                  <from>
                    <xdr:col>31</xdr:col>
                    <xdr:colOff>438150</xdr:colOff>
                    <xdr:row>3</xdr:row>
                    <xdr:rowOff>0</xdr:rowOff>
                  </from>
                  <to>
                    <xdr:col>34</xdr:col>
                    <xdr:colOff>266700</xdr:colOff>
                    <xdr:row>5</xdr:row>
                    <xdr:rowOff>57150</xdr:rowOff>
                  </to>
                </anchor>
              </controlPr>
            </control>
          </mc:Choice>
        </mc:AlternateContent>
      </controls>
    </mc:Choice>
  </mc:AlternateContent>
  <tableParts count="4">
    <tablePart r:id="rId5"/>
    <tablePart r:id="rId6"/>
    <tablePart r:id="rId7"/>
    <tablePart r:id="rId8"/>
  </tablePar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rgb="FFFF0000"/>
    <pageSetUpPr fitToPage="1"/>
  </sheetPr>
  <dimension ref="B1:BA231"/>
  <sheetViews>
    <sheetView showGridLines="0" zoomScale="80" zoomScaleNormal="80" zoomScaleSheetLayoutView="100" workbookViewId="0">
      <selection activeCell="B20" sqref="B20:L33"/>
    </sheetView>
  </sheetViews>
  <sheetFormatPr defaultRowHeight="18.75" x14ac:dyDescent="0.15"/>
  <cols>
    <col min="1" max="1" width="4" style="1" customWidth="1"/>
    <col min="2" max="2" width="12.5" style="1" customWidth="1"/>
    <col min="3" max="12" width="8.75" style="1" customWidth="1"/>
    <col min="13" max="13" width="16.5" style="1" customWidth="1"/>
    <col min="14" max="14" width="2.5" style="1" customWidth="1"/>
    <col min="15" max="15" width="17.75" style="1" hidden="1" customWidth="1"/>
    <col min="16" max="31" width="11.125" style="1" hidden="1" customWidth="1"/>
    <col min="32" max="53" width="9" style="1" hidden="1" customWidth="1"/>
    <col min="54" max="16384" width="9" style="1"/>
  </cols>
  <sheetData>
    <row r="1" spans="2:53" ht="19.5" customHeight="1" x14ac:dyDescent="0.15">
      <c r="B1" s="418" t="s">
        <v>165</v>
      </c>
      <c r="C1" s="418"/>
      <c r="D1" s="418"/>
      <c r="E1" s="418"/>
      <c r="F1" s="418"/>
      <c r="G1" s="418"/>
      <c r="H1" s="418"/>
      <c r="I1" s="418"/>
      <c r="J1" s="418"/>
      <c r="K1" s="418"/>
      <c r="L1" s="418"/>
    </row>
    <row r="2" spans="2:53" ht="19.5" customHeight="1" x14ac:dyDescent="0.15">
      <c r="B2" s="417" t="s">
        <v>311</v>
      </c>
      <c r="C2" s="416"/>
      <c r="D2" s="416"/>
      <c r="E2" s="416"/>
      <c r="F2" s="416"/>
      <c r="G2" s="416"/>
      <c r="H2" s="416"/>
      <c r="I2" s="416"/>
      <c r="J2" s="416"/>
      <c r="K2" s="416"/>
      <c r="L2" s="416"/>
    </row>
    <row r="3" spans="2:53" ht="18.75" customHeight="1" thickBot="1" x14ac:dyDescent="0.2">
      <c r="B3" s="714" t="s">
        <v>65</v>
      </c>
      <c r="C3" s="716" t="s">
        <v>64</v>
      </c>
      <c r="D3" s="717"/>
      <c r="E3" s="717"/>
      <c r="F3" s="717"/>
      <c r="G3" s="717"/>
      <c r="H3" s="717"/>
      <c r="I3" s="717"/>
      <c r="J3" s="717"/>
      <c r="K3" s="717"/>
      <c r="L3" s="718"/>
      <c r="O3" s="34" t="s">
        <v>63</v>
      </c>
    </row>
    <row r="4" spans="2:53" ht="18.75" customHeight="1" thickTop="1" thickBot="1" x14ac:dyDescent="0.2">
      <c r="B4" s="715"/>
      <c r="C4" s="719" t="s">
        <v>69</v>
      </c>
      <c r="D4" s="720"/>
      <c r="E4" s="719" t="s">
        <v>70</v>
      </c>
      <c r="F4" s="720"/>
      <c r="G4" s="719" t="s">
        <v>71</v>
      </c>
      <c r="H4" s="720"/>
      <c r="I4" s="719" t="s">
        <v>72</v>
      </c>
      <c r="J4" s="720"/>
      <c r="K4" s="719" t="s">
        <v>62</v>
      </c>
      <c r="L4" s="720"/>
      <c r="O4" s="429" t="s">
        <v>370</v>
      </c>
      <c r="P4" s="503" t="s">
        <v>183</v>
      </c>
      <c r="Q4" s="503" t="s">
        <v>182</v>
      </c>
      <c r="R4" s="503" t="s">
        <v>184</v>
      </c>
      <c r="S4" s="503" t="s">
        <v>185</v>
      </c>
      <c r="T4" s="503" t="s">
        <v>186</v>
      </c>
      <c r="U4" s="503" t="s">
        <v>187</v>
      </c>
      <c r="V4" s="503" t="s">
        <v>188</v>
      </c>
      <c r="W4" s="503" t="s">
        <v>189</v>
      </c>
      <c r="X4" s="503" t="s">
        <v>190</v>
      </c>
      <c r="Y4" s="503" t="s">
        <v>191</v>
      </c>
      <c r="Z4" s="503" t="s">
        <v>192</v>
      </c>
      <c r="AA4" s="503" t="s">
        <v>193</v>
      </c>
      <c r="AB4" s="503" t="s">
        <v>194</v>
      </c>
      <c r="AC4" s="503" t="s">
        <v>195</v>
      </c>
      <c r="AD4" s="503" t="s">
        <v>196</v>
      </c>
      <c r="AE4" s="56" t="s">
        <v>197</v>
      </c>
      <c r="AL4" s="486" t="s">
        <v>182</v>
      </c>
      <c r="AM4" s="487" t="s">
        <v>183</v>
      </c>
      <c r="AN4" s="487" t="s">
        <v>184</v>
      </c>
      <c r="AO4" s="487" t="s">
        <v>185</v>
      </c>
      <c r="AP4" s="487" t="s">
        <v>186</v>
      </c>
      <c r="AQ4" s="487" t="s">
        <v>187</v>
      </c>
      <c r="AR4" s="487" t="s">
        <v>188</v>
      </c>
      <c r="AS4" s="487" t="s">
        <v>189</v>
      </c>
      <c r="AT4" s="487" t="s">
        <v>190</v>
      </c>
      <c r="AU4" s="487" t="s">
        <v>191</v>
      </c>
      <c r="AV4" s="487" t="s">
        <v>192</v>
      </c>
      <c r="AW4" s="487" t="s">
        <v>193</v>
      </c>
      <c r="AX4" s="487" t="s">
        <v>194</v>
      </c>
      <c r="AY4" s="487" t="s">
        <v>195</v>
      </c>
      <c r="AZ4" s="487" t="s">
        <v>196</v>
      </c>
      <c r="BA4" s="486" t="s">
        <v>197</v>
      </c>
    </row>
    <row r="5" spans="2:53" s="22" customFormat="1" ht="18.75" customHeight="1" thickTop="1" x14ac:dyDescent="0.15">
      <c r="B5" s="228" t="s">
        <v>2</v>
      </c>
      <c r="C5" s="229">
        <f>IFERROR(INDEX(年齢階層×在院期間区分F02F09[#All],MATCH($AK5,年齢階層×在院期間区分F02F09[[#All],[行ラベル]],0),MATCH($AL$4,年齢階層×在院期間区分F02F09[#Headers],0)),0)+IFERROR(INDEX(年齢階層×在院期間区分F02F09[#All],MATCH($AK5,年齢階層×在院期間区分F02F09[[#All],[行ラベル]],0),MATCH($AM$4,年齢階層×在院期間区分F02F09[#Headers],0)),0)+IFERROR(INDEX(年齢階層×在院期間区分F02F09[#All],MATCH($AK5,年齢階層×在院期間区分F02F09[[#All],[行ラベル]],0),MATCH($AN$4,年齢階層×在院期間区分F02F09[#Headers],0)),0)+IFERROR(INDEX(年齢階層×在院期間区分F02F09[#All],MATCH($AK5,年齢階層×在院期間区分F02F09[[#All],[行ラベル]],0),MATCH($AO$4,年齢階層×在院期間区分F02F09[#Headers],0)),0)</f>
        <v>0</v>
      </c>
      <c r="D5" s="224">
        <f t="shared" ref="D5:D16" si="0">IFERROR(C5/$C$14,"-")</f>
        <v>0</v>
      </c>
      <c r="E5" s="229">
        <f>IFERROR(INDEX(年齢階層×在院期間区分F02F09[#All],MATCH($AK5,年齢階層×在院期間区分F02F09[[#All],[行ラベル]],0),MATCH($AP$4,年齢階層×在院期間区分F02F09[#Headers],0)),0)+IFERROR(INDEX(年齢階層×在院期間区分F02F09[#All],MATCH($AK5,年齢階層×在院期間区分F02F09[[#All],[行ラベル]],0),MATCH($AQ$4,年齢階層×在院期間区分F02F09[#Headers],0)),0)+IFERROR(INDEX(年齢階層×在院期間区分F02F09[#All],MATCH($AK5,年齢階層×在院期間区分F02F09[[#All],[行ラベル]],0),MATCH($AR$4,年齢階層×在院期間区分F02F09[#Headers],0)),0)+IFERROR(INDEX(年齢階層×在院期間区分F02F09[#All],MATCH($AK5,年齢階層×在院期間区分F02F09[[#All],[行ラベル]],0),MATCH($AS$4,年齢階層×在院期間区分F02F09[#Headers],0)),0)+IFERROR(INDEX(年齢階層×在院期間区分F02F09[#All],MATCH($AK5,年齢階層×在院期間区分F02F09[[#All],[行ラベル]],0),MATCH($AT$4,年齢階層×在院期間区分F02F09[#Headers],0)),0)</f>
        <v>0</v>
      </c>
      <c r="F5" s="224">
        <f t="shared" ref="F5:F16" si="1">IFERROR(E5/$E$14,"-")</f>
        <v>0</v>
      </c>
      <c r="G5" s="229">
        <f>IFERROR(INDEX(年齢階層×在院期間区分F02F09[#All],MATCH($AK5,年齢階層×在院期間区分F02F09[[#All],[行ラベル]],0),MATCH($AU$4,年齢階層×在院期間区分F02F09[#Headers],0)),0)+IFERROR(INDEX(年齢階層×在院期間区分F02F09[#All],MATCH($AK5,年齢階層×在院期間区分F02F09[[#All],[行ラベル]],0),MATCH($AV$4,年齢階層×在院期間区分F02F09[#Headers],0)),0)+IFERROR(INDEX(年齢階層×在院期間区分F02F09[#All],MATCH($AK5,年齢階層×在院期間区分F02F09[[#All],[行ラベル]],0),MATCH($AW$4,年齢階層×在院期間区分F02F09[#Headers],0)),0)+IFERROR(INDEX(年齢階層×在院期間区分F02F09[#All],MATCH($AK5,年齢階層×在院期間区分F02F09[[#All],[行ラベル]],0),MATCH($AX$4,年齢階層×在院期間区分F02F09[#Headers],0)),0)+IFERROR(INDEX(年齢階層×在院期間区分F02F09[#All],MATCH($AK5,年齢階層×在院期間区分F02F09[[#All],[行ラベル]],0),MATCH($AY$4,年齢階層×在院期間区分F02F09[#Headers],0)),0)</f>
        <v>0</v>
      </c>
      <c r="H5" s="224">
        <f t="shared" ref="H5:H16" si="2">IFERROR(G5/$G$14,"-")</f>
        <v>0</v>
      </c>
      <c r="I5" s="223">
        <f>IFERROR(INDEX(年齢階層×在院期間区分F02F09[#All],MATCH($AK5,年齢階層×在院期間区分F02F09[[#All],[行ラベル]],0),MATCH($AZ$4,年齢階層×在院期間区分F02F09[#Headers],0)),0)+IFERROR(INDEX(年齢階層×在院期間区分F02F09[#All],MATCH($AK5,年齢階層×在院期間区分F02F09[[#All],[行ラベル]],0),MATCH($BA$4,年齢階層×在院期間区分F02F09[#Headers],0)),0)</f>
        <v>0</v>
      </c>
      <c r="J5" s="224">
        <f t="shared" ref="J5:J16" si="3">IFERROR(I5/$I$14,"-")</f>
        <v>0</v>
      </c>
      <c r="K5" s="223">
        <f t="shared" ref="K5:K13" si="4">SUM(C5,E5,G5,I5)</f>
        <v>0</v>
      </c>
      <c r="L5" s="224">
        <f t="shared" ref="L5:L16" si="5">IFERROR(K5/$K$14,"-")</f>
        <v>0</v>
      </c>
      <c r="O5" s="54" t="s">
        <v>3</v>
      </c>
      <c r="P5" s="66">
        <v>3</v>
      </c>
      <c r="Q5" s="66">
        <v>1</v>
      </c>
      <c r="R5" s="66"/>
      <c r="S5" s="66">
        <v>1</v>
      </c>
      <c r="T5" s="66">
        <v>1</v>
      </c>
      <c r="U5" s="66"/>
      <c r="V5" s="66"/>
      <c r="W5" s="66"/>
      <c r="X5" s="66"/>
      <c r="Y5" s="66"/>
      <c r="Z5" s="66"/>
      <c r="AA5" s="66"/>
      <c r="AB5" s="66"/>
      <c r="AC5" s="66"/>
      <c r="AD5" s="66"/>
      <c r="AE5" s="66"/>
      <c r="AK5" s="54" t="s">
        <v>2</v>
      </c>
      <c r="AL5" s="67"/>
      <c r="AO5" s="81"/>
    </row>
    <row r="6" spans="2:53" s="22" customFormat="1" ht="18.75" customHeight="1" x14ac:dyDescent="0.15">
      <c r="B6" s="230" t="s">
        <v>3</v>
      </c>
      <c r="C6" s="231">
        <f>IFERROR(INDEX(年齢階層×在院期間区分F02F09[#All],MATCH($AK6,年齢階層×在院期間区分F02F09[[#All],[行ラベル]],0),MATCH($AL$4,年齢階層×在院期間区分F02F09[#Headers],0)),0)+IFERROR(INDEX(年齢階層×在院期間区分F02F09[#All],MATCH($AK6,年齢階層×在院期間区分F02F09[[#All],[行ラベル]],0),MATCH($AM$4,年齢階層×在院期間区分F02F09[#Headers],0)),0)+IFERROR(INDEX(年齢階層×在院期間区分F02F09[#All],MATCH($AK6,年齢階層×在院期間区分F02F09[[#All],[行ラベル]],0),MATCH($AN$4,年齢階層×在院期間区分F02F09[#Headers],0)),0)+IFERROR(INDEX(年齢階層×在院期間区分F02F09[#All],MATCH($AK6,年齢階層×在院期間区分F02F09[[#All],[行ラベル]],0),MATCH($AO$4,年齢階層×在院期間区分F02F09[#Headers],0)),0)</f>
        <v>5</v>
      </c>
      <c r="D6" s="225">
        <f t="shared" si="0"/>
        <v>5.3937432578209281E-3</v>
      </c>
      <c r="E6" s="208">
        <f>IFERROR(INDEX(年齢階層×在院期間区分F02F09[#All],MATCH($AK6,年齢階層×在院期間区分F02F09[[#All],[行ラベル]],0),MATCH($AP$4,年齢階層×在院期間区分F02F09[#Headers],0)),0)+IFERROR(INDEX(年齢階層×在院期間区分F02F09[#All],MATCH($AK6,年齢階層×在院期間区分F02F09[[#All],[行ラベル]],0),MATCH($AQ$4,年齢階層×在院期間区分F02F09[#Headers],0)),0)+IFERROR(INDEX(年齢階層×在院期間区分F02F09[#All],MATCH($AK6,年齢階層×在院期間区分F02F09[[#All],[行ラベル]],0),MATCH($AR$4,年齢階層×在院期間区分F02F09[#Headers],0)),0)+IFERROR(INDEX(年齢階層×在院期間区分F02F09[#All],MATCH($AK6,年齢階層×在院期間区分F02F09[[#All],[行ラベル]],0),MATCH($AS$4,年齢階層×在院期間区分F02F09[#Headers],0)),0)+IFERROR(INDEX(年齢階層×在院期間区分F02F09[#All],MATCH($AK6,年齢階層×在院期間区分F02F09[[#All],[行ラベル]],0),MATCH($AT$4,年齢階層×在院期間区分F02F09[#Headers],0)),0)</f>
        <v>1</v>
      </c>
      <c r="F6" s="209">
        <f t="shared" si="1"/>
        <v>1.4792899408284023E-3</v>
      </c>
      <c r="G6" s="231">
        <f>IFERROR(INDEX(年齢階層×在院期間区分F02F09[#All],MATCH($AK6,年齢階層×在院期間区分F02F09[[#All],[行ラベル]],0),MATCH($AU$4,年齢階層×在院期間区分F02F09[#Headers],0)),0)+IFERROR(INDEX(年齢階層×在院期間区分F02F09[#All],MATCH($AK6,年齢階層×在院期間区分F02F09[[#All],[行ラベル]],0),MATCH($AV$4,年齢階層×在院期間区分F02F09[#Headers],0)),0)+IFERROR(INDEX(年齢階層×在院期間区分F02F09[#All],MATCH($AK6,年齢階層×在院期間区分F02F09[[#All],[行ラベル]],0),MATCH($AW$4,年齢階層×在院期間区分F02F09[#Headers],0)),0)+IFERROR(INDEX(年齢階層×在院期間区分F02F09[#All],MATCH($AK6,年齢階層×在院期間区分F02F09[[#All],[行ラベル]],0),MATCH($AX$4,年齢階層×在院期間区分F02F09[#Headers],0)),0)+IFERROR(INDEX(年齢階層×在院期間区分F02F09[#All],MATCH($AK6,年齢階層×在院期間区分F02F09[[#All],[行ラベル]],0),MATCH($AY$4,年齢階層×在院期間区分F02F09[#Headers],0)),0)</f>
        <v>0</v>
      </c>
      <c r="H6" s="225">
        <f t="shared" si="2"/>
        <v>0</v>
      </c>
      <c r="I6" s="232">
        <f>IFERROR(INDEX(年齢階層×在院期間区分F02F09[#All],MATCH($AK6,年齢階層×在院期間区分F02F09[[#All],[行ラベル]],0),MATCH($AZ$4,年齢階層×在院期間区分F02F09[#Headers],0)),0)+IFERROR(INDEX(年齢階層×在院期間区分F02F09[#All],MATCH($AK6,年齢階層×在院期間区分F02F09[[#All],[行ラベル]],0),MATCH($BA$4,年齢階層×在院期間区分F02F09[#Headers],0)),0)</f>
        <v>0</v>
      </c>
      <c r="J6" s="225">
        <f t="shared" si="3"/>
        <v>0</v>
      </c>
      <c r="K6" s="208">
        <f t="shared" si="4"/>
        <v>6</v>
      </c>
      <c r="L6" s="225">
        <f t="shared" si="5"/>
        <v>3.1662269129287598E-3</v>
      </c>
      <c r="O6" s="54" t="s">
        <v>4</v>
      </c>
      <c r="P6" s="66">
        <v>2</v>
      </c>
      <c r="Q6" s="66"/>
      <c r="R6" s="66">
        <v>1</v>
      </c>
      <c r="S6" s="66"/>
      <c r="T6" s="66">
        <v>1</v>
      </c>
      <c r="U6" s="66">
        <v>2</v>
      </c>
      <c r="V6" s="66">
        <v>1</v>
      </c>
      <c r="W6" s="66"/>
      <c r="X6" s="66">
        <v>2</v>
      </c>
      <c r="Y6" s="66"/>
      <c r="Z6" s="66">
        <v>1</v>
      </c>
      <c r="AA6" s="66"/>
      <c r="AB6" s="66">
        <v>3</v>
      </c>
      <c r="AC6" s="66"/>
      <c r="AD6" s="66"/>
      <c r="AE6" s="66"/>
      <c r="AK6" s="54" t="s">
        <v>3</v>
      </c>
      <c r="AL6" s="67"/>
      <c r="AM6" s="67"/>
      <c r="AO6" s="81"/>
    </row>
    <row r="7" spans="2:53" s="22" customFormat="1" ht="18.75" customHeight="1" x14ac:dyDescent="0.15">
      <c r="B7" s="230" t="s">
        <v>4</v>
      </c>
      <c r="C7" s="231">
        <f>IFERROR(INDEX(年齢階層×在院期間区分F02F09[#All],MATCH($AK7,年齢階層×在院期間区分F02F09[[#All],[行ラベル]],0),MATCH($AL$4,年齢階層×在院期間区分F02F09[#Headers],0)),0)+IFERROR(INDEX(年齢階層×在院期間区分F02F09[#All],MATCH($AK7,年齢階層×在院期間区分F02F09[[#All],[行ラベル]],0),MATCH($AM$4,年齢階層×在院期間区分F02F09[#Headers],0)),0)+IFERROR(INDEX(年齢階層×在院期間区分F02F09[#All],MATCH($AK7,年齢階層×在院期間区分F02F09[[#All],[行ラベル]],0),MATCH($AN$4,年齢階層×在院期間区分F02F09[#Headers],0)),0)+IFERROR(INDEX(年齢階層×在院期間区分F02F09[#All],MATCH($AK7,年齢階層×在院期間区分F02F09[[#All],[行ラベル]],0),MATCH($AO$4,年齢階層×在院期間区分F02F09[#Headers],0)),0)</f>
        <v>3</v>
      </c>
      <c r="D7" s="225">
        <f t="shared" si="0"/>
        <v>3.2362459546925568E-3</v>
      </c>
      <c r="E7" s="232">
        <f>IFERROR(INDEX(年齢階層×在院期間区分F02F09[#All],MATCH($AK7,年齢階層×在院期間区分F02F09[[#All],[行ラベル]],0),MATCH($AP$4,年齢階層×在院期間区分F02F09[#Headers],0)),0)+IFERROR(INDEX(年齢階層×在院期間区分F02F09[#All],MATCH($AK7,年齢階層×在院期間区分F02F09[[#All],[行ラベル]],0),MATCH($AQ$4,年齢階層×在院期間区分F02F09[#Headers],0)),0)+IFERROR(INDEX(年齢階層×在院期間区分F02F09[#All],MATCH($AK7,年齢階層×在院期間区分F02F09[[#All],[行ラベル]],0),MATCH($AR$4,年齢階層×在院期間区分F02F09[#Headers],0)),0)+IFERROR(INDEX(年齢階層×在院期間区分F02F09[#All],MATCH($AK7,年齢階層×在院期間区分F02F09[[#All],[行ラベル]],0),MATCH($AS$4,年齢階層×在院期間区分F02F09[#Headers],0)),0)+IFERROR(INDEX(年齢階層×在院期間区分F02F09[#All],MATCH($AK7,年齢階層×在院期間区分F02F09[[#All],[行ラベル]],0),MATCH($AT$4,年齢階層×在院期間区分F02F09[#Headers],0)),0)</f>
        <v>6</v>
      </c>
      <c r="F7" s="209">
        <f t="shared" si="1"/>
        <v>8.8757396449704144E-3</v>
      </c>
      <c r="G7" s="231">
        <f>IFERROR(INDEX(年齢階層×在院期間区分F02F09[#All],MATCH($AK7,年齢階層×在院期間区分F02F09[[#All],[行ラベル]],0),MATCH($AU$4,年齢階層×在院期間区分F02F09[#Headers],0)),0)+IFERROR(INDEX(年齢階層×在院期間区分F02F09[#All],MATCH($AK7,年齢階層×在院期間区分F02F09[[#All],[行ラベル]],0),MATCH($AV$4,年齢階層×在院期間区分F02F09[#Headers],0)),0)+IFERROR(INDEX(年齢階層×在院期間区分F02F09[#All],MATCH($AK7,年齢階層×在院期間区分F02F09[[#All],[行ラベル]],0),MATCH($AW$4,年齢階層×在院期間区分F02F09[#Headers],0)),0)+IFERROR(INDEX(年齢階層×在院期間区分F02F09[#All],MATCH($AK7,年齢階層×在院期間区分F02F09[[#All],[行ラベル]],0),MATCH($AX$4,年齢階層×在院期間区分F02F09[#Headers],0)),0)+IFERROR(INDEX(年齢階層×在院期間区分F02F09[#All],MATCH($AK7,年齢階層×在院期間区分F02F09[[#All],[行ラベル]],0),MATCH($AY$4,年齢階層×在院期間区分F02F09[#Headers],0)),0)</f>
        <v>4</v>
      </c>
      <c r="H7" s="209">
        <f t="shared" si="2"/>
        <v>2.1621621621621623E-2</v>
      </c>
      <c r="I7" s="208">
        <f>IFERROR(INDEX(年齢階層×在院期間区分F02F09[#All],MATCH($AK7,年齢階層×在院期間区分F02F09[[#All],[行ラベル]],0),MATCH($AZ$4,年齢階層×在院期間区分F02F09[#Headers],0)),0)+IFERROR(INDEX(年齢階層×在院期間区分F02F09[#All],MATCH($AK7,年齢階層×在院期間区分F02F09[[#All],[行ラベル]],0),MATCH($BA$4,年齢階層×在院期間区分F02F09[#Headers],0)),0)</f>
        <v>0</v>
      </c>
      <c r="J7" s="225">
        <f t="shared" si="3"/>
        <v>0</v>
      </c>
      <c r="K7" s="208">
        <f t="shared" si="4"/>
        <v>13</v>
      </c>
      <c r="L7" s="225">
        <f t="shared" si="5"/>
        <v>6.8601583113456462E-3</v>
      </c>
      <c r="O7" s="54" t="s">
        <v>5</v>
      </c>
      <c r="P7" s="66">
        <v>4</v>
      </c>
      <c r="Q7" s="66">
        <v>7</v>
      </c>
      <c r="R7" s="66">
        <v>5</v>
      </c>
      <c r="S7" s="66">
        <v>3</v>
      </c>
      <c r="T7" s="66">
        <v>2</v>
      </c>
      <c r="U7" s="66">
        <v>3</v>
      </c>
      <c r="V7" s="66">
        <v>4</v>
      </c>
      <c r="W7" s="66">
        <v>4</v>
      </c>
      <c r="X7" s="66">
        <v>1</v>
      </c>
      <c r="Y7" s="66">
        <v>2</v>
      </c>
      <c r="Z7" s="66">
        <v>1</v>
      </c>
      <c r="AA7" s="66">
        <v>1</v>
      </c>
      <c r="AB7" s="66"/>
      <c r="AC7" s="66">
        <v>2</v>
      </c>
      <c r="AD7" s="66">
        <v>4</v>
      </c>
      <c r="AE7" s="66"/>
      <c r="AK7" s="54" t="s">
        <v>4</v>
      </c>
      <c r="AL7" s="67"/>
      <c r="AM7" s="67"/>
      <c r="AO7" s="81"/>
    </row>
    <row r="8" spans="2:53" s="22" customFormat="1" ht="18.75" customHeight="1" x14ac:dyDescent="0.15">
      <c r="B8" s="230" t="s">
        <v>5</v>
      </c>
      <c r="C8" s="208">
        <f>IFERROR(INDEX(年齢階層×在院期間区分F02F09[#All],MATCH($AK8,年齢階層×在院期間区分F02F09[[#All],[行ラベル]],0),MATCH($AL$4,年齢階層×在院期間区分F02F09[#Headers],0)),0)+IFERROR(INDEX(年齢階層×在院期間区分F02F09[#All],MATCH($AK8,年齢階層×在院期間区分F02F09[[#All],[行ラベル]],0),MATCH($AM$4,年齢階層×在院期間区分F02F09[#Headers],0)),0)+IFERROR(INDEX(年齢階層×在院期間区分F02F09[#All],MATCH($AK8,年齢階層×在院期間区分F02F09[[#All],[行ラベル]],0),MATCH($AN$4,年齢階層×在院期間区分F02F09[#Headers],0)),0)+IFERROR(INDEX(年齢階層×在院期間区分F02F09[#All],MATCH($AK8,年齢階層×在院期間区分F02F09[[#All],[行ラベル]],0),MATCH($AO$4,年齢階層×在院期間区分F02F09[#Headers],0)),0)</f>
        <v>19</v>
      </c>
      <c r="D8" s="225">
        <f t="shared" si="0"/>
        <v>2.0496224379719527E-2</v>
      </c>
      <c r="E8" s="208">
        <f>IFERROR(INDEX(年齢階層×在院期間区分F02F09[#All],MATCH($AK8,年齢階層×在院期間区分F02F09[[#All],[行ラベル]],0),MATCH($AP$4,年齢階層×在院期間区分F02F09[#Headers],0)),0)+IFERROR(INDEX(年齢階層×在院期間区分F02F09[#All],MATCH($AK8,年齢階層×在院期間区分F02F09[[#All],[行ラベル]],0),MATCH($AQ$4,年齢階層×在院期間区分F02F09[#Headers],0)),0)+IFERROR(INDEX(年齢階層×在院期間区分F02F09[#All],MATCH($AK8,年齢階層×在院期間区分F02F09[[#All],[行ラベル]],0),MATCH($AR$4,年齢階層×在院期間区分F02F09[#Headers],0)),0)+IFERROR(INDEX(年齢階層×在院期間区分F02F09[#All],MATCH($AK8,年齢階層×在院期間区分F02F09[[#All],[行ラベル]],0),MATCH($AS$4,年齢階層×在院期間区分F02F09[#Headers],0)),0)+IFERROR(INDEX(年齢階層×在院期間区分F02F09[#All],MATCH($AK8,年齢階層×在院期間区分F02F09[[#All],[行ラベル]],0),MATCH($AT$4,年齢階層×在院期間区分F02F09[#Headers],0)),0)</f>
        <v>14</v>
      </c>
      <c r="F8" s="209">
        <f t="shared" si="1"/>
        <v>2.0710059171597635E-2</v>
      </c>
      <c r="G8" s="231">
        <f>IFERROR(INDEX(年齢階層×在院期間区分F02F09[#All],MATCH($AK8,年齢階層×在院期間区分F02F09[[#All],[行ラベル]],0),MATCH($AU$4,年齢階層×在院期間区分F02F09[#Headers],0)),0)+IFERROR(INDEX(年齢階層×在院期間区分F02F09[#All],MATCH($AK8,年齢階層×在院期間区分F02F09[[#All],[行ラベル]],0),MATCH($AV$4,年齢階層×在院期間区分F02F09[#Headers],0)),0)+IFERROR(INDEX(年齢階層×在院期間区分F02F09[#All],MATCH($AK8,年齢階層×在院期間区分F02F09[[#All],[行ラベル]],0),MATCH($AW$4,年齢階層×在院期間区分F02F09[#Headers],0)),0)+IFERROR(INDEX(年齢階層×在院期間区分F02F09[#All],MATCH($AK8,年齢階層×在院期間区分F02F09[[#All],[行ラベル]],0),MATCH($AX$4,年齢階層×在院期間区分F02F09[#Headers],0)),0)+IFERROR(INDEX(年齢階層×在院期間区分F02F09[#All],MATCH($AK8,年齢階層×在院期間区分F02F09[[#All],[行ラベル]],0),MATCH($AY$4,年齢階層×在院期間区分F02F09[#Headers],0)),0)</f>
        <v>6</v>
      </c>
      <c r="H8" s="210">
        <f t="shared" si="2"/>
        <v>3.2432432432432434E-2</v>
      </c>
      <c r="I8" s="232">
        <f>IFERROR(INDEX(年齢階層×在院期間区分F02F09[#All],MATCH($AK8,年齢階層×在院期間区分F02F09[[#All],[行ラベル]],0),MATCH($AZ$4,年齢階層×在院期間区分F02F09[#Headers],0)),0)+IFERROR(INDEX(年齢階層×在院期間区分F02F09[#All],MATCH($AK8,年齢階層×在院期間区分F02F09[[#All],[行ラベル]],0),MATCH($BA$4,年齢階層×在院期間区分F02F09[#Headers],0)),0)</f>
        <v>4</v>
      </c>
      <c r="J8" s="225">
        <f t="shared" si="3"/>
        <v>3.7383177570093455E-2</v>
      </c>
      <c r="K8" s="208">
        <f t="shared" si="4"/>
        <v>43</v>
      </c>
      <c r="L8" s="225">
        <f t="shared" si="5"/>
        <v>2.2691292875989446E-2</v>
      </c>
      <c r="O8" s="54" t="s">
        <v>6</v>
      </c>
      <c r="P8" s="66">
        <v>13</v>
      </c>
      <c r="Q8" s="66">
        <v>7</v>
      </c>
      <c r="R8" s="66">
        <v>8</v>
      </c>
      <c r="S8" s="66">
        <v>15</v>
      </c>
      <c r="T8" s="66">
        <v>9</v>
      </c>
      <c r="U8" s="66">
        <v>7</v>
      </c>
      <c r="V8" s="66">
        <v>15</v>
      </c>
      <c r="W8" s="66">
        <v>7</v>
      </c>
      <c r="X8" s="66">
        <v>12</v>
      </c>
      <c r="Y8" s="66">
        <v>5</v>
      </c>
      <c r="Z8" s="66">
        <v>3</v>
      </c>
      <c r="AA8" s="66">
        <v>4</v>
      </c>
      <c r="AB8" s="66"/>
      <c r="AC8" s="66">
        <v>3</v>
      </c>
      <c r="AD8" s="66">
        <v>11</v>
      </c>
      <c r="AE8" s="66">
        <v>3</v>
      </c>
      <c r="AK8" s="54" t="s">
        <v>5</v>
      </c>
      <c r="AL8" s="67"/>
      <c r="AM8" s="67"/>
      <c r="AO8" s="81"/>
    </row>
    <row r="9" spans="2:53" s="22" customFormat="1" ht="18.75" customHeight="1" x14ac:dyDescent="0.15">
      <c r="B9" s="230" t="s">
        <v>6</v>
      </c>
      <c r="C9" s="208">
        <f>IFERROR(INDEX(年齢階層×在院期間区分F02F09[#All],MATCH($AK9,年齢階層×在院期間区分F02F09[[#All],[行ラベル]],0),MATCH($AL$4,年齢階層×在院期間区分F02F09[#Headers],0)),0)+IFERROR(INDEX(年齢階層×在院期間区分F02F09[#All],MATCH($AK9,年齢階層×在院期間区分F02F09[[#All],[行ラベル]],0),MATCH($AM$4,年齢階層×在院期間区分F02F09[#Headers],0)),0)+IFERROR(INDEX(年齢階層×在院期間区分F02F09[#All],MATCH($AK9,年齢階層×在院期間区分F02F09[[#All],[行ラベル]],0),MATCH($AN$4,年齢階層×在院期間区分F02F09[#Headers],0)),0)+IFERROR(INDEX(年齢階層×在院期間区分F02F09[#All],MATCH($AK9,年齢階層×在院期間区分F02F09[[#All],[行ラベル]],0),MATCH($AO$4,年齢階層×在院期間区分F02F09[#Headers],0)),0)</f>
        <v>43</v>
      </c>
      <c r="D9" s="225">
        <f t="shared" si="0"/>
        <v>4.6386192017259978E-2</v>
      </c>
      <c r="E9" s="208">
        <f>IFERROR(INDEX(年齢階層×在院期間区分F02F09[#All],MATCH($AK9,年齢階層×在院期間区分F02F09[[#All],[行ラベル]],0),MATCH($AP$4,年齢階層×在院期間区分F02F09[#Headers],0)),0)+IFERROR(INDEX(年齢階層×在院期間区分F02F09[#All],MATCH($AK9,年齢階層×在院期間区分F02F09[[#All],[行ラベル]],0),MATCH($AQ$4,年齢階層×在院期間区分F02F09[#Headers],0)),0)+IFERROR(INDEX(年齢階層×在院期間区分F02F09[#All],MATCH($AK9,年齢階層×在院期間区分F02F09[[#All],[行ラベル]],0),MATCH($AR$4,年齢階層×在院期間区分F02F09[#Headers],0)),0)+IFERROR(INDEX(年齢階層×在院期間区分F02F09[#All],MATCH($AK9,年齢階層×在院期間区分F02F09[[#All],[行ラベル]],0),MATCH($AS$4,年齢階層×在院期間区分F02F09[#Headers],0)),0)+IFERROR(INDEX(年齢階層×在院期間区分F02F09[#All],MATCH($AK9,年齢階層×在院期間区分F02F09[[#All],[行ラベル]],0),MATCH($AT$4,年齢階層×在院期間区分F02F09[#Headers],0)),0)</f>
        <v>50</v>
      </c>
      <c r="F9" s="210">
        <f t="shared" si="1"/>
        <v>7.3964497041420121E-2</v>
      </c>
      <c r="G9" s="231">
        <f>IFERROR(INDEX(年齢階層×在院期間区分F02F09[#All],MATCH($AK9,年齢階層×在院期間区分F02F09[[#All],[行ラベル]],0),MATCH($AU$4,年齢階層×在院期間区分F02F09[#Headers],0)),0)+IFERROR(INDEX(年齢階層×在院期間区分F02F09[#All],MATCH($AK9,年齢階層×在院期間区分F02F09[[#All],[行ラベル]],0),MATCH($AV$4,年齢階層×在院期間区分F02F09[#Headers],0)),0)+IFERROR(INDEX(年齢階層×在院期間区分F02F09[#All],MATCH($AK9,年齢階層×在院期間区分F02F09[[#All],[行ラベル]],0),MATCH($AW$4,年齢階層×在院期間区分F02F09[#Headers],0)),0)+IFERROR(INDEX(年齢階層×在院期間区分F02F09[#All],MATCH($AK9,年齢階層×在院期間区分F02F09[[#All],[行ラベル]],0),MATCH($AX$4,年齢階層×在院期間区分F02F09[#Headers],0)),0)+IFERROR(INDEX(年齢階層×在院期間区分F02F09[#All],MATCH($AK9,年齢階層×在院期間区分F02F09[[#All],[行ラベル]],0),MATCH($AY$4,年齢階層×在院期間区分F02F09[#Headers],0)),0)</f>
        <v>15</v>
      </c>
      <c r="H9" s="209">
        <f t="shared" si="2"/>
        <v>8.1081081081081086E-2</v>
      </c>
      <c r="I9" s="231">
        <f>IFERROR(INDEX(年齢階層×在院期間区分F02F09[#All],MATCH($AK9,年齢階層×在院期間区分F02F09[[#All],[行ラベル]],0),MATCH($AZ$4,年齢階層×在院期間区分F02F09[#Headers],0)),0)+IFERROR(INDEX(年齢階層×在院期間区分F02F09[#All],MATCH($AK9,年齢階層×在院期間区分F02F09[[#All],[行ラベル]],0),MATCH($BA$4,年齢階層×在院期間区分F02F09[#Headers],0)),0)</f>
        <v>14</v>
      </c>
      <c r="J9" s="225">
        <f t="shared" si="3"/>
        <v>0.13084112149532709</v>
      </c>
      <c r="K9" s="208">
        <f t="shared" si="4"/>
        <v>122</v>
      </c>
      <c r="L9" s="209">
        <f t="shared" si="5"/>
        <v>6.4379947229551454E-2</v>
      </c>
      <c r="O9" s="54" t="s">
        <v>7</v>
      </c>
      <c r="P9" s="66">
        <v>26</v>
      </c>
      <c r="Q9" s="66">
        <v>19</v>
      </c>
      <c r="R9" s="66">
        <v>27</v>
      </c>
      <c r="S9" s="66">
        <v>27</v>
      </c>
      <c r="T9" s="66">
        <v>23</v>
      </c>
      <c r="U9" s="66">
        <v>13</v>
      </c>
      <c r="V9" s="66">
        <v>20</v>
      </c>
      <c r="W9" s="66">
        <v>14</v>
      </c>
      <c r="X9" s="66">
        <v>17</v>
      </c>
      <c r="Y9" s="66">
        <v>6</v>
      </c>
      <c r="Z9" s="66">
        <v>2</v>
      </c>
      <c r="AA9" s="66">
        <v>3</v>
      </c>
      <c r="AB9" s="66">
        <v>5</v>
      </c>
      <c r="AC9" s="66">
        <v>4</v>
      </c>
      <c r="AD9" s="66">
        <v>17</v>
      </c>
      <c r="AE9" s="66">
        <v>7</v>
      </c>
      <c r="AK9" s="54" t="s">
        <v>6</v>
      </c>
      <c r="AL9" s="67"/>
      <c r="AM9" s="67"/>
      <c r="AO9" s="81"/>
    </row>
    <row r="10" spans="2:53" s="22" customFormat="1" ht="18.75" customHeight="1" x14ac:dyDescent="0.15">
      <c r="B10" s="230" t="s">
        <v>7</v>
      </c>
      <c r="C10" s="208">
        <f>IFERROR(INDEX(年齢階層×在院期間区分F02F09[#All],MATCH($AK10,年齢階層×在院期間区分F02F09[[#All],[行ラベル]],0),MATCH($AL$4,年齢階層×在院期間区分F02F09[#Headers],0)),0)+IFERROR(INDEX(年齢階層×在院期間区分F02F09[#All],MATCH($AK10,年齢階層×在院期間区分F02F09[[#All],[行ラベル]],0),MATCH($AM$4,年齢階層×在院期間区分F02F09[#Headers],0)),0)+IFERROR(INDEX(年齢階層×在院期間区分F02F09[#All],MATCH($AK10,年齢階層×在院期間区分F02F09[[#All],[行ラベル]],0),MATCH($AN$4,年齢階層×在院期間区分F02F09[#Headers],0)),0)+IFERROR(INDEX(年齢階層×在院期間区分F02F09[#All],MATCH($AK10,年齢階層×在院期間区分F02F09[[#All],[行ラベル]],0),MATCH($AO$4,年齢階層×在院期間区分F02F09[#Headers],0)),0)</f>
        <v>99</v>
      </c>
      <c r="D10" s="209">
        <f t="shared" si="0"/>
        <v>0.10679611650485436</v>
      </c>
      <c r="E10" s="232">
        <f>IFERROR(INDEX(年齢階層×在院期間区分F02F09[#All],MATCH($AK10,年齢階層×在院期間区分F02F09[[#All],[行ラベル]],0),MATCH($AP$4,年齢階層×在院期間区分F02F09[#Headers],0)),0)+IFERROR(INDEX(年齢階層×在院期間区分F02F09[#All],MATCH($AK10,年齢階層×在院期間区分F02F09[[#All],[行ラベル]],0),MATCH($AQ$4,年齢階層×在院期間区分F02F09[#Headers],0)),0)+IFERROR(INDEX(年齢階層×在院期間区分F02F09[#All],MATCH($AK10,年齢階層×在院期間区分F02F09[[#All],[行ラベル]],0),MATCH($AR$4,年齢階層×在院期間区分F02F09[#Headers],0)),0)+IFERROR(INDEX(年齢階層×在院期間区分F02F09[#All],MATCH($AK10,年齢階層×在院期間区分F02F09[[#All],[行ラベル]],0),MATCH($AS$4,年齢階層×在院期間区分F02F09[#Headers],0)),0)+IFERROR(INDEX(年齢階層×在院期間区分F02F09[#All],MATCH($AK10,年齢階層×在院期間区分F02F09[[#All],[行ラベル]],0),MATCH($AT$4,年齢階層×在院期間区分F02F09[#Headers],0)),0)</f>
        <v>87</v>
      </c>
      <c r="F10" s="225">
        <f t="shared" si="1"/>
        <v>0.128698224852071</v>
      </c>
      <c r="G10" s="231">
        <f>IFERROR(INDEX(年齢階層×在院期間区分F02F09[#All],MATCH($AK10,年齢階層×在院期間区分F02F09[[#All],[行ラベル]],0),MATCH($AU$4,年齢階層×在院期間区分F02F09[#Headers],0)),0)+IFERROR(INDEX(年齢階層×在院期間区分F02F09[#All],MATCH($AK10,年齢階層×在院期間区分F02F09[[#All],[行ラベル]],0),MATCH($AV$4,年齢階層×在院期間区分F02F09[#Headers],0)),0)+IFERROR(INDEX(年齢階層×在院期間区分F02F09[#All],MATCH($AK10,年齢階層×在院期間区分F02F09[[#All],[行ラベル]],0),MATCH($AW$4,年齢階層×在院期間区分F02F09[#Headers],0)),0)+IFERROR(INDEX(年齢階層×在院期間区分F02F09[#All],MATCH($AK10,年齢階層×在院期間区分F02F09[[#All],[行ラベル]],0),MATCH($AX$4,年齢階層×在院期間区分F02F09[#Headers],0)),0)+IFERROR(INDEX(年齢階層×在院期間区分F02F09[#All],MATCH($AK10,年齢階層×在院期間区分F02F09[[#All],[行ラベル]],0),MATCH($AY$4,年齢階層×在院期間区分F02F09[#Headers],0)),0)</f>
        <v>20</v>
      </c>
      <c r="H10" s="210">
        <f t="shared" si="2"/>
        <v>0.10810810810810811</v>
      </c>
      <c r="I10" s="208">
        <f>IFERROR(INDEX(年齢階層×在院期間区分F02F09[#All],MATCH($AK10,年齢階層×在院期間区分F02F09[[#All],[行ラベル]],0),MATCH($AZ$4,年齢階層×在院期間区分F02F09[#Headers],0)),0)+IFERROR(INDEX(年齢階層×在院期間区分F02F09[#All],MATCH($AK10,年齢階層×在院期間区分F02F09[[#All],[行ラベル]],0),MATCH($BA$4,年齢階層×在院期間区分F02F09[#Headers],0)),0)</f>
        <v>24</v>
      </c>
      <c r="J10" s="209">
        <f t="shared" si="3"/>
        <v>0.22429906542056074</v>
      </c>
      <c r="K10" s="208">
        <f t="shared" si="4"/>
        <v>230</v>
      </c>
      <c r="L10" s="209">
        <f t="shared" si="5"/>
        <v>0.12137203166226913</v>
      </c>
      <c r="O10" s="54" t="s">
        <v>8</v>
      </c>
      <c r="P10" s="66">
        <v>82</v>
      </c>
      <c r="Q10" s="66">
        <v>72</v>
      </c>
      <c r="R10" s="66">
        <v>77</v>
      </c>
      <c r="S10" s="66">
        <v>89</v>
      </c>
      <c r="T10" s="66">
        <v>44</v>
      </c>
      <c r="U10" s="66">
        <v>31</v>
      </c>
      <c r="V10" s="66">
        <v>45</v>
      </c>
      <c r="W10" s="66">
        <v>35</v>
      </c>
      <c r="X10" s="66">
        <v>19</v>
      </c>
      <c r="Y10" s="66">
        <v>12</v>
      </c>
      <c r="Z10" s="66">
        <v>10</v>
      </c>
      <c r="AA10" s="66">
        <v>12</v>
      </c>
      <c r="AB10" s="66">
        <v>4</v>
      </c>
      <c r="AC10" s="66">
        <v>5</v>
      </c>
      <c r="AD10" s="66">
        <v>29</v>
      </c>
      <c r="AE10" s="66">
        <v>8</v>
      </c>
      <c r="AK10" s="54" t="s">
        <v>7</v>
      </c>
      <c r="AL10" s="67"/>
      <c r="AM10" s="67"/>
      <c r="AO10" s="81"/>
    </row>
    <row r="11" spans="2:53" s="22" customFormat="1" ht="18.75" customHeight="1" x14ac:dyDescent="0.15">
      <c r="B11" s="230" t="s">
        <v>8</v>
      </c>
      <c r="C11" s="232">
        <f>IFERROR(INDEX(年齢階層×在院期間区分F02F09[#All],MATCH($AK11,年齢階層×在院期間区分F02F09[[#All],[行ラベル]],0),MATCH($AL$4,年齢階層×在院期間区分F02F09[#Headers],0)),0)+IFERROR(INDEX(年齢階層×在院期間区分F02F09[#All],MATCH($AK11,年齢階層×在院期間区分F02F09[[#All],[行ラベル]],0),MATCH($AM$4,年齢階層×在院期間区分F02F09[#Headers],0)),0)+IFERROR(INDEX(年齢階層×在院期間区分F02F09[#All],MATCH($AK11,年齢階層×在院期間区分F02F09[[#All],[行ラベル]],0),MATCH($AN$4,年齢階層×在院期間区分F02F09[#Headers],0)),0)+IFERROR(INDEX(年齢階層×在院期間区分F02F09[#All],MATCH($AK11,年齢階層×在院期間区分F02F09[[#All],[行ラベル]],0),MATCH($AO$4,年齢階層×在院期間区分F02F09[#Headers],0)),0)</f>
        <v>320</v>
      </c>
      <c r="D11" s="210">
        <f t="shared" si="0"/>
        <v>0.3451995685005394</v>
      </c>
      <c r="E11" s="231">
        <f>IFERROR(INDEX(年齢階層×在院期間区分F02F09[#All],MATCH($AK11,年齢階層×在院期間区分F02F09[[#All],[行ラベル]],0),MATCH($AP$4,年齢階層×在院期間区分F02F09[#Headers],0)),0)+IFERROR(INDEX(年齢階層×在院期間区分F02F09[#All],MATCH($AK11,年齢階層×在院期間区分F02F09[[#All],[行ラベル]],0),MATCH($AQ$4,年齢階層×在院期間区分F02F09[#Headers],0)),0)+IFERROR(INDEX(年齢階層×在院期間区分F02F09[#All],MATCH($AK11,年齢階層×在院期間区分F02F09[[#All],[行ラベル]],0),MATCH($AR$4,年齢階層×在院期間区分F02F09[#Headers],0)),0)+IFERROR(INDEX(年齢階層×在院期間区分F02F09[#All],MATCH($AK11,年齢階層×在院期間区分F02F09[[#All],[行ラベル]],0),MATCH($AS$4,年齢階層×在院期間区分F02F09[#Headers],0)),0)+IFERROR(INDEX(年齢階層×在院期間区分F02F09[#All],MATCH($AK11,年齢階層×在院期間区分F02F09[[#All],[行ラベル]],0),MATCH($AT$4,年齢階層×在院期間区分F02F09[#Headers],0)),0)</f>
        <v>174</v>
      </c>
      <c r="F11" s="209">
        <f t="shared" si="1"/>
        <v>0.25739644970414199</v>
      </c>
      <c r="G11" s="231">
        <f>IFERROR(INDEX(年齢階層×在院期間区分F02F09[#All],MATCH($AK11,年齢階層×在院期間区分F02F09[[#All],[行ラベル]],0),MATCH($AU$4,年齢階層×在院期間区分F02F09[#Headers],0)),0)+IFERROR(INDEX(年齢階層×在院期間区分F02F09[#All],MATCH($AK11,年齢階層×在院期間区分F02F09[[#All],[行ラベル]],0),MATCH($AV$4,年齢階層×在院期間区分F02F09[#Headers],0)),0)+IFERROR(INDEX(年齢階層×在院期間区分F02F09[#All],MATCH($AK11,年齢階層×在院期間区分F02F09[[#All],[行ラベル]],0),MATCH($AW$4,年齢階層×在院期間区分F02F09[#Headers],0)),0)+IFERROR(INDEX(年齢階層×在院期間区分F02F09[#All],MATCH($AK11,年齢階層×在院期間区分F02F09[[#All],[行ラベル]],0),MATCH($AX$4,年齢階層×在院期間区分F02F09[#Headers],0)),0)+IFERROR(INDEX(年齢階層×在院期間区分F02F09[#All],MATCH($AK11,年齢階層×在院期間区分F02F09[[#All],[行ラベル]],0),MATCH($AY$4,年齢階層×在院期間区分F02F09[#Headers],0)),0)</f>
        <v>43</v>
      </c>
      <c r="H11" s="209">
        <f t="shared" si="2"/>
        <v>0.23243243243243245</v>
      </c>
      <c r="I11" s="208">
        <f>IFERROR(INDEX(年齢階層×在院期間区分F02F09[#All],MATCH($AK11,年齢階層×在院期間区分F02F09[[#All],[行ラベル]],0),MATCH($AZ$4,年齢階層×在院期間区分F02F09[#Headers],0)),0)+IFERROR(INDEX(年齢階層×在院期間区分F02F09[#All],MATCH($AK11,年齢階層×在院期間区分F02F09[[#All],[行ラベル]],0),MATCH($BA$4,年齢階層×在院期間区分F02F09[#Headers],0)),0)</f>
        <v>37</v>
      </c>
      <c r="J11" s="209">
        <f t="shared" si="3"/>
        <v>0.34579439252336447</v>
      </c>
      <c r="K11" s="208">
        <f t="shared" si="4"/>
        <v>574</v>
      </c>
      <c r="L11" s="209">
        <f t="shared" si="5"/>
        <v>0.30290237467018472</v>
      </c>
      <c r="O11" s="54" t="s">
        <v>9</v>
      </c>
      <c r="P11" s="66">
        <v>100</v>
      </c>
      <c r="Q11" s="66">
        <v>84</v>
      </c>
      <c r="R11" s="66">
        <v>89</v>
      </c>
      <c r="S11" s="66">
        <v>102</v>
      </c>
      <c r="T11" s="66">
        <v>86</v>
      </c>
      <c r="U11" s="66">
        <v>46</v>
      </c>
      <c r="V11" s="66">
        <v>55</v>
      </c>
      <c r="W11" s="66">
        <v>41</v>
      </c>
      <c r="X11" s="66">
        <v>40</v>
      </c>
      <c r="Y11" s="66">
        <v>29</v>
      </c>
      <c r="Z11" s="66">
        <v>17</v>
      </c>
      <c r="AA11" s="66">
        <v>12</v>
      </c>
      <c r="AB11" s="66">
        <v>8</v>
      </c>
      <c r="AC11" s="66">
        <v>8</v>
      </c>
      <c r="AD11" s="66">
        <v>20</v>
      </c>
      <c r="AE11" s="66">
        <v>3</v>
      </c>
      <c r="AK11" s="54" t="s">
        <v>8</v>
      </c>
      <c r="AL11" s="67"/>
      <c r="AM11" s="67"/>
      <c r="AO11" s="81"/>
    </row>
    <row r="12" spans="2:53" s="22" customFormat="1" ht="18.75" customHeight="1" x14ac:dyDescent="0.15">
      <c r="B12" s="230" t="s">
        <v>9</v>
      </c>
      <c r="C12" s="208">
        <f>IFERROR(INDEX(年齢階層×在院期間区分F02F09[#All],MATCH($AK12,年齢階層×在院期間区分F02F09[[#All],[行ラベル]],0),MATCH($AL$4,年齢階層×在院期間区分F02F09[#Headers],0)),0)+IFERROR(INDEX(年齢階層×在院期間区分F02F09[#All],MATCH($AK12,年齢階層×在院期間区分F02F09[[#All],[行ラベル]],0),MATCH($AM$4,年齢階層×在院期間区分F02F09[#Headers],0)),0)+IFERROR(INDEX(年齢階層×在院期間区分F02F09[#All],MATCH($AK12,年齢階層×在院期間区分F02F09[[#All],[行ラベル]],0),MATCH($AN$4,年齢階層×在院期間区分F02F09[#Headers],0)),0)+IFERROR(INDEX(年齢階層×在院期間区分F02F09[#All],MATCH($AK12,年齢階層×在院期間区分F02F09[[#All],[行ラベル]],0),MATCH($AO$4,年齢階層×在院期間区分F02F09[#Headers],0)),0)</f>
        <v>375</v>
      </c>
      <c r="D12" s="209">
        <f t="shared" si="0"/>
        <v>0.4045307443365696</v>
      </c>
      <c r="E12" s="231">
        <f>IFERROR(INDEX(年齢階層×在院期間区分F02F09[#All],MATCH($AK12,年齢階層×在院期間区分F02F09[[#All],[行ラベル]],0),MATCH($AP$4,年齢階層×在院期間区分F02F09[#Headers],0)),0)+IFERROR(INDEX(年齢階層×在院期間区分F02F09[#All],MATCH($AK12,年齢階層×在院期間区分F02F09[[#All],[行ラベル]],0),MATCH($AQ$4,年齢階層×在院期間区分F02F09[#Headers],0)),0)+IFERROR(INDEX(年齢階層×在院期間区分F02F09[#All],MATCH($AK12,年齢階層×在院期間区分F02F09[[#All],[行ラベル]],0),MATCH($AR$4,年齢階層×在院期間区分F02F09[#Headers],0)),0)+IFERROR(INDEX(年齢階層×在院期間区分F02F09[#All],MATCH($AK12,年齢階層×在院期間区分F02F09[[#All],[行ラベル]],0),MATCH($AS$4,年齢階層×在院期間区分F02F09[#Headers],0)),0)+IFERROR(INDEX(年齢階層×在院期間区分F02F09[#All],MATCH($AK12,年齢階層×在院期間区分F02F09[[#All],[行ラベル]],0),MATCH($AT$4,年齢階層×在院期間区分F02F09[#Headers],0)),0)</f>
        <v>268</v>
      </c>
      <c r="F12" s="210">
        <f t="shared" si="1"/>
        <v>0.39644970414201186</v>
      </c>
      <c r="G12" s="231">
        <f>IFERROR(INDEX(年齢階層×在院期間区分F02F09[#All],MATCH($AK12,年齢階層×在院期間区分F02F09[[#All],[行ラベル]],0),MATCH($AU$4,年齢階層×在院期間区分F02F09[#Headers],0)),0)+IFERROR(INDEX(年齢階層×在院期間区分F02F09[#All],MATCH($AK12,年齢階層×在院期間区分F02F09[[#All],[行ラベル]],0),MATCH($AV$4,年齢階層×在院期間区分F02F09[#Headers],0)),0)+IFERROR(INDEX(年齢階層×在院期間区分F02F09[#All],MATCH($AK12,年齢階層×在院期間区分F02F09[[#All],[行ラベル]],0),MATCH($AW$4,年齢階層×在院期間区分F02F09[#Headers],0)),0)+IFERROR(INDEX(年齢階層×在院期間区分F02F09[#All],MATCH($AK12,年齢階層×在院期間区分F02F09[[#All],[行ラベル]],0),MATCH($AX$4,年齢階層×在院期間区分F02F09[#Headers],0)),0)+IFERROR(INDEX(年齢階層×在院期間区分F02F09[#All],MATCH($AK12,年齢階層×在院期間区分F02F09[[#All],[行ラベル]],0),MATCH($AY$4,年齢階層×在院期間区分F02F09[#Headers],0)),0)</f>
        <v>74</v>
      </c>
      <c r="H12" s="210">
        <f t="shared" si="2"/>
        <v>0.4</v>
      </c>
      <c r="I12" s="232">
        <f>IFERROR(INDEX(年齢階層×在院期間区分F02F09[#All],MATCH($AK12,年齢階層×在院期間区分F02F09[[#All],[行ラベル]],0),MATCH($AZ$4,年齢階層×在院期間区分F02F09[#Headers],0)),0)+IFERROR(INDEX(年齢階層×在院期間区分F02F09[#All],MATCH($AK12,年齢階層×在院期間区分F02F09[[#All],[行ラベル]],0),MATCH($BA$4,年齢階層×在院期間区分F02F09[#Headers],0)),0)</f>
        <v>23</v>
      </c>
      <c r="J12" s="209">
        <f t="shared" si="3"/>
        <v>0.21495327102803738</v>
      </c>
      <c r="K12" s="208">
        <f t="shared" si="4"/>
        <v>740</v>
      </c>
      <c r="L12" s="209">
        <f t="shared" si="5"/>
        <v>0.39050131926121373</v>
      </c>
      <c r="O12" s="54" t="s">
        <v>10</v>
      </c>
      <c r="P12" s="66">
        <v>20</v>
      </c>
      <c r="Q12" s="66">
        <v>13</v>
      </c>
      <c r="R12" s="66">
        <v>14</v>
      </c>
      <c r="S12" s="66">
        <v>16</v>
      </c>
      <c r="T12" s="66">
        <v>19</v>
      </c>
      <c r="U12" s="66">
        <v>10</v>
      </c>
      <c r="V12" s="66">
        <v>20</v>
      </c>
      <c r="W12" s="66">
        <v>20</v>
      </c>
      <c r="X12" s="66">
        <v>7</v>
      </c>
      <c r="Y12" s="66">
        <v>6</v>
      </c>
      <c r="Z12" s="66">
        <v>4</v>
      </c>
      <c r="AA12" s="66">
        <v>7</v>
      </c>
      <c r="AB12" s="66">
        <v>3</v>
      </c>
      <c r="AC12" s="66">
        <v>3</v>
      </c>
      <c r="AD12" s="66">
        <v>3</v>
      </c>
      <c r="AE12" s="66">
        <v>2</v>
      </c>
      <c r="AK12" s="54" t="s">
        <v>9</v>
      </c>
      <c r="AL12" s="67"/>
      <c r="AM12" s="67"/>
      <c r="AO12" s="81"/>
    </row>
    <row r="13" spans="2:53" s="22" customFormat="1" ht="18.75" customHeight="1" thickBot="1" x14ac:dyDescent="0.2">
      <c r="B13" s="233" t="s">
        <v>10</v>
      </c>
      <c r="C13" s="234">
        <f>IFERROR(INDEX(年齢階層×在院期間区分F02F09[#All],MATCH($AK13,年齢階層×在院期間区分F02F09[[#All],[行ラベル]],0),MATCH($AL$4,年齢階層×在院期間区分F02F09[#Headers],0)),0)+IFERROR(INDEX(年齢階層×在院期間区分F02F09[#All],MATCH($AK13,年齢階層×在院期間区分F02F09[[#All],[行ラベル]],0),MATCH($AM$4,年齢階層×在院期間区分F02F09[#Headers],0)),0)+IFERROR(INDEX(年齢階層×在院期間区分F02F09[#All],MATCH($AK13,年齢階層×在院期間区分F02F09[[#All],[行ラベル]],0),MATCH($AN$4,年齢階層×在院期間区分F02F09[#Headers],0)),0)+IFERROR(INDEX(年齢階層×在院期間区分F02F09[#All],MATCH($AK13,年齢階層×在院期間区分F02F09[[#All],[行ラベル]],0),MATCH($AO$4,年齢階層×在院期間区分F02F09[#Headers],0)),0)</f>
        <v>63</v>
      </c>
      <c r="D13" s="212">
        <f t="shared" si="0"/>
        <v>6.7961165048543687E-2</v>
      </c>
      <c r="E13" s="211">
        <f>IFERROR(INDEX(年齢階層×在院期間区分F02F09[#All],MATCH($AK13,年齢階層×在院期間区分F02F09[[#All],[行ラベル]],0),MATCH($AP$4,年齢階層×在院期間区分F02F09[#Headers],0)),0)+IFERROR(INDEX(年齢階層×在院期間区分F02F09[#All],MATCH($AK13,年齢階層×在院期間区分F02F09[[#All],[行ラベル]],0),MATCH($AQ$4,年齢階層×在院期間区分F02F09[#Headers],0)),0)+IFERROR(INDEX(年齢階層×在院期間区分F02F09[#All],MATCH($AK13,年齢階層×在院期間区分F02F09[[#All],[行ラベル]],0),MATCH($AR$4,年齢階層×在院期間区分F02F09[#Headers],0)),0)+IFERROR(INDEX(年齢階層×在院期間区分F02F09[#All],MATCH($AK13,年齢階層×在院期間区分F02F09[[#All],[行ラベル]],0),MATCH($AS$4,年齢階層×在院期間区分F02F09[#Headers],0)),0)+IFERROR(INDEX(年齢階層×在院期間区分F02F09[#All],MATCH($AK13,年齢階層×在院期間区分F02F09[[#All],[行ラベル]],0),MATCH($AT$4,年齢階層×在院期間区分F02F09[#Headers],0)),0)</f>
        <v>76</v>
      </c>
      <c r="F13" s="213">
        <f t="shared" si="1"/>
        <v>0.11242603550295859</v>
      </c>
      <c r="G13" s="211">
        <f>IFERROR(INDEX(年齢階層×在院期間区分F02F09[#All],MATCH($AK13,年齢階層×在院期間区分F02F09[[#All],[行ラベル]],0),MATCH($AU$4,年齢階層×在院期間区分F02F09[#Headers],0)),0)+IFERROR(INDEX(年齢階層×在院期間区分F02F09[#All],MATCH($AK13,年齢階層×在院期間区分F02F09[[#All],[行ラベル]],0),MATCH($AV$4,年齢階層×在院期間区分F02F09[#Headers],0)),0)+IFERROR(INDEX(年齢階層×在院期間区分F02F09[#All],MATCH($AK13,年齢階層×在院期間区分F02F09[[#All],[行ラベル]],0),MATCH($AW$4,年齢階層×在院期間区分F02F09[#Headers],0)),0)+IFERROR(INDEX(年齢階層×在院期間区分F02F09[#All],MATCH($AK13,年齢階層×在院期間区分F02F09[[#All],[行ラベル]],0),MATCH($AX$4,年齢階層×在院期間区分F02F09[#Headers],0)),0)+IFERROR(INDEX(年齢階層×在院期間区分F02F09[#All],MATCH($AK13,年齢階層×在院期間区分F02F09[[#All],[行ラベル]],0),MATCH($AY$4,年齢階層×在院期間区分F02F09[#Headers],0)),0)</f>
        <v>23</v>
      </c>
      <c r="H13" s="213">
        <f t="shared" si="2"/>
        <v>0.12432432432432433</v>
      </c>
      <c r="I13" s="211">
        <f>IFERROR(INDEX(年齢階層×在院期間区分F02F09[#All],MATCH($AK13,年齢階層×在院期間区分F02F09[[#All],[行ラベル]],0),MATCH($AZ$4,年齢階層×在院期間区分F02F09[#Headers],0)),0)+IFERROR(INDEX(年齢階層×在院期間区分F02F09[#All],MATCH($AK13,年齢階層×在院期間区分F02F09[[#All],[行ラベル]],0),MATCH($BA$4,年齢階層×在院期間区分F02F09[#Headers],0)),0)</f>
        <v>5</v>
      </c>
      <c r="J13" s="212">
        <f t="shared" si="3"/>
        <v>4.6728971962616821E-2</v>
      </c>
      <c r="K13" s="211">
        <f t="shared" si="4"/>
        <v>167</v>
      </c>
      <c r="L13" s="212">
        <f t="shared" si="5"/>
        <v>8.8126649076517155E-2</v>
      </c>
      <c r="O13" s="54"/>
      <c r="P13" s="66"/>
      <c r="Q13" s="66"/>
      <c r="R13" s="66"/>
      <c r="S13" s="66"/>
      <c r="T13" s="66"/>
      <c r="U13" s="66"/>
      <c r="V13" s="66"/>
      <c r="W13" s="66"/>
      <c r="X13" s="66"/>
      <c r="Y13" s="66"/>
      <c r="Z13" s="66"/>
      <c r="AA13" s="66"/>
      <c r="AB13" s="66"/>
      <c r="AC13" s="66"/>
      <c r="AD13" s="66"/>
      <c r="AE13" s="66"/>
      <c r="AK13" s="54" t="s">
        <v>10</v>
      </c>
      <c r="AL13" s="67"/>
      <c r="AM13" s="67"/>
      <c r="AO13" s="81"/>
    </row>
    <row r="14" spans="2:53" s="22" customFormat="1" ht="18.75" customHeight="1" thickTop="1" thickBot="1" x14ac:dyDescent="0.2">
      <c r="B14" s="235" t="s">
        <v>161</v>
      </c>
      <c r="C14" s="236">
        <f>SUM(C5:C13)</f>
        <v>927</v>
      </c>
      <c r="D14" s="244">
        <f t="shared" si="0"/>
        <v>1</v>
      </c>
      <c r="E14" s="236">
        <f>SUM(E5:E13)</f>
        <v>676</v>
      </c>
      <c r="F14" s="244">
        <f t="shared" si="1"/>
        <v>1</v>
      </c>
      <c r="G14" s="236">
        <f>SUM(G5:G13)</f>
        <v>185</v>
      </c>
      <c r="H14" s="244">
        <f t="shared" si="2"/>
        <v>1</v>
      </c>
      <c r="I14" s="236">
        <f>SUM(I5:I13)</f>
        <v>107</v>
      </c>
      <c r="J14" s="244">
        <f t="shared" si="3"/>
        <v>1</v>
      </c>
      <c r="K14" s="236">
        <f>SUM(K5:K13)</f>
        <v>1895</v>
      </c>
      <c r="L14" s="244">
        <f t="shared" si="5"/>
        <v>1</v>
      </c>
      <c r="O14" s="429" t="s">
        <v>308</v>
      </c>
      <c r="P14" s="503" t="s">
        <v>182</v>
      </c>
      <c r="Q14" s="503" t="s">
        <v>183</v>
      </c>
      <c r="R14" s="503" t="s">
        <v>184</v>
      </c>
      <c r="S14" s="503" t="s">
        <v>185</v>
      </c>
      <c r="T14" s="503" t="s">
        <v>186</v>
      </c>
      <c r="U14" s="503" t="s">
        <v>187</v>
      </c>
      <c r="V14" s="503" t="s">
        <v>188</v>
      </c>
      <c r="W14" s="503" t="s">
        <v>189</v>
      </c>
      <c r="X14" s="503" t="s">
        <v>190</v>
      </c>
      <c r="Y14" s="503" t="s">
        <v>191</v>
      </c>
      <c r="Z14" s="503" t="s">
        <v>192</v>
      </c>
      <c r="AA14" s="503" t="s">
        <v>193</v>
      </c>
      <c r="AB14" s="503" t="s">
        <v>194</v>
      </c>
      <c r="AC14" s="503" t="s">
        <v>195</v>
      </c>
      <c r="AD14" s="503" t="s">
        <v>196</v>
      </c>
      <c r="AE14" s="56" t="s">
        <v>197</v>
      </c>
      <c r="AK14" s="81"/>
      <c r="AL14" s="81"/>
      <c r="AO14" s="81"/>
    </row>
    <row r="15" spans="2:53" s="22" customFormat="1" ht="18.75" customHeight="1" thickTop="1" x14ac:dyDescent="0.15">
      <c r="B15" s="238" t="s">
        <v>93</v>
      </c>
      <c r="C15" s="239">
        <f>IFERROR(INDEX(年齢階層×在院期間区分F02F09_65歳未満以上[#All],MATCH($AK15,年齢階層×在院期間区分F02F09_65歳未満以上[[#All],[列1]],0),MATCH($AL$4,年齢階層×在院期間区分F02F09_65歳未満以上[#Headers],0)),0)+IFERROR(INDEX(年齢階層×在院期間区分F02F09_65歳未満以上[#All],MATCH($AK15,年齢階層×在院期間区分F02F09_65歳未満以上[[#All],[列1]],0),MATCH($AM$4,年齢階層×在院期間区分F02F09_65歳未満以上[#Headers],0)),0)+IFERROR(INDEX(年齢階層×在院期間区分F02F09_65歳未満以上[#All],MATCH($AK15,年齢階層×在院期間区分F02F09_65歳未満以上[[#All],[列1]],0),MATCH($AN$4,年齢階層×在院期間区分F02F09_65歳未満以上[#Headers],0)),0)+IFERROR(INDEX(年齢階層×在院期間区分F02F09_65歳未満以上[#All],MATCH($AK15,年齢階層×在院期間区分F02F09_65歳未満以上[[#All],[列1]],0),MATCH($AO$4,年齢階層×在院期間区分F02F09_65歳未満以上[#Headers],0)),0)</f>
        <v>109</v>
      </c>
      <c r="D15" s="242">
        <f t="shared" si="0"/>
        <v>0.11758360302049622</v>
      </c>
      <c r="E15" s="239">
        <f>IFERROR(INDEX(年齢階層×在院期間区分F02F09_65歳未満以上[#All],MATCH($AK15,年齢階層×在院期間区分F02F09_65歳未満以上[[#All],[列1]],0),MATCH($AP$4,年齢階層×在院期間区分F02F09_65歳未満以上[#Headers],0)),0)+IFERROR(INDEX(年齢階層×在院期間区分F02F09_65歳未満以上[#All],MATCH($AK15,年齢階層×在院期間区分F02F09_65歳未満以上[[#All],[列1]],0),MATCH($AQ$4,年齢階層×在院期間区分F02F09_65歳未満以上[#Headers],0)),0)+IFERROR(INDEX(年齢階層×在院期間区分F02F09_65歳未満以上[#All],MATCH($AK15,年齢階層×在院期間区分F02F09_65歳未満以上[[#All],[列1]],0),MATCH($AR$4,年齢階層×在院期間区分F02F09_65歳未満以上[#Headers],0)),0)+IFERROR(INDEX(年齢階層×在院期間区分F02F09_65歳未満以上[#All],MATCH($AK15,年齢階層×在院期間区分F02F09_65歳未満以上[[#All],[列1]],0),MATCH($AS$4,年齢階層×在院期間区分F02F09_65歳未満以上[#Headers],0)),0)+IFERROR(INDEX(年齢階層×在院期間区分F02F09_65歳未満以上[#All],MATCH($AK15,年齢階層×在院期間区分F02F09_65歳未満以上[[#All],[列1]],0),MATCH($AT$4,年齢階層×在院期間区分F02F09_65歳未満以上[#Headers],0)),0)</f>
        <v>102</v>
      </c>
      <c r="F15" s="242">
        <f t="shared" si="1"/>
        <v>0.15088757396449703</v>
      </c>
      <c r="G15" s="239">
        <f>IFERROR(INDEX(年齢階層×在院期間区分F02F09_65歳未満以上[#All],MATCH($AK15,年齢階層×在院期間区分F02F09_65歳未満以上[[#All],[列1]],0),MATCH($AU$4,年齢階層×在院期間区分F02F09_65歳未満以上[#Headers],0)),0)+IFERROR(INDEX(年齢階層×在院期間区分F02F09_65歳未満以上[#All],MATCH($AK15,年齢階層×在院期間区分F02F09_65歳未満以上[[#All],[列1]],0),MATCH($AV$4,年齢階層×在院期間区分F02F09_65歳未満以上[#Headers],0)),0)+IFERROR(INDEX(年齢階層×在院期間区分F02F09_65歳未満以上[#All],MATCH($AK15,年齢階層×在院期間区分F02F09_65歳未満以上[[#All],[列1]],0),MATCH($AW$4,年齢階層×在院期間区分F02F09_65歳未満以上[#Headers],0)),0)+IFERROR(INDEX(年齢階層×在院期間区分F02F09_65歳未満以上[#All],MATCH($AK15,年齢階層×在院期間区分F02F09_65歳未満以上[[#All],[列1]],0),MATCH($AX$4,年齢階層×在院期間区分F02F09_65歳未満以上[#Headers],0)),0)+IFERROR(INDEX(年齢階層×在院期間区分F02F09_65歳未満以上[#All],MATCH($AK15,年齢階層×在院期間区分F02F09_65歳未満以上[[#All],[列1]],0),MATCH($AY$4,年齢階層×在院期間区分F02F09_65歳未満以上[#Headers],0)),0)</f>
        <v>35</v>
      </c>
      <c r="H15" s="242">
        <f t="shared" si="2"/>
        <v>0.1891891891891892</v>
      </c>
      <c r="I15" s="239">
        <f>IFERROR(INDEX(年齢階層×在院期間区分F02F09_65歳未満以上[#All],MATCH($AK15,年齢階層×在院期間区分F02F09_65歳未満以上[[#All],[列1]],0),MATCH($AZ$4,年齢階層×在院期間区分F02F09_65歳未満以上[#Headers],0)),0)+IFERROR(INDEX(年齢階層×在院期間区分F02F09_65歳未満以上[#All],MATCH($AK15,年齢階層×在院期間区分F02F09_65歳未満以上[[#All],[列1]],0),MATCH($BA$4,年齢階層×在院期間区分F02F09_65歳未満以上[#Headers],0)),0)</f>
        <v>25</v>
      </c>
      <c r="J15" s="242">
        <f t="shared" si="3"/>
        <v>0.23364485981308411</v>
      </c>
      <c r="K15" s="239">
        <f>C15+E15+G15+I15</f>
        <v>271</v>
      </c>
      <c r="L15" s="242">
        <f t="shared" si="5"/>
        <v>0.14300791556728232</v>
      </c>
      <c r="O15" s="54" t="s">
        <v>307</v>
      </c>
      <c r="P15" s="66">
        <v>178</v>
      </c>
      <c r="Q15" s="66">
        <v>222</v>
      </c>
      <c r="R15" s="66">
        <v>198</v>
      </c>
      <c r="S15" s="66">
        <v>220</v>
      </c>
      <c r="T15" s="66">
        <v>165</v>
      </c>
      <c r="U15" s="66">
        <v>95</v>
      </c>
      <c r="V15" s="66">
        <v>134</v>
      </c>
      <c r="W15" s="66">
        <v>104</v>
      </c>
      <c r="X15" s="66">
        <v>76</v>
      </c>
      <c r="Y15" s="66">
        <v>50</v>
      </c>
      <c r="Z15" s="66">
        <v>31</v>
      </c>
      <c r="AA15" s="66">
        <v>34</v>
      </c>
      <c r="AB15" s="66">
        <v>17</v>
      </c>
      <c r="AC15" s="66">
        <v>18</v>
      </c>
      <c r="AD15" s="66">
        <v>62</v>
      </c>
      <c r="AE15" s="66">
        <v>20</v>
      </c>
      <c r="AK15" s="83" t="s">
        <v>156</v>
      </c>
    </row>
    <row r="16" spans="2:53" s="22" customFormat="1" ht="18.75" customHeight="1" x14ac:dyDescent="0.15">
      <c r="B16" s="240" t="s">
        <v>89</v>
      </c>
      <c r="C16" s="239">
        <f>IFERROR(INDEX(年齢階層×在院期間区分F02F09_65歳未満以上[#All],MATCH($AK16,年齢階層×在院期間区分F02F09_65歳未満以上[[#All],[列1]],0),MATCH($AL$4,年齢階層×在院期間区分F02F09_65歳未満以上[#Headers],0)),0)+IFERROR(INDEX(年齢階層×在院期間区分F02F09_65歳未満以上[#All],MATCH($AK16,年齢階層×在院期間区分F02F09_65歳未満以上[[#All],[列1]],0),MATCH($AM$4,年齢階層×在院期間区分F02F09_65歳未満以上[#Headers],0)),0)+IFERROR(INDEX(年齢階層×在院期間区分F02F09_65歳未満以上[#All],MATCH($AK16,年齢階層×在院期間区分F02F09_65歳未満以上[[#All],[列1]],0),MATCH($AN$4,年齢階層×在院期間区分F02F09_65歳未満以上[#Headers],0)),0)+IFERROR(INDEX(年齢階層×在院期間区分F02F09_65歳未満以上[#All],MATCH($AK16,年齢階層×在院期間区分F02F09_65歳未満以上[[#All],[列1]],0),MATCH($AO$4,年齢階層×在院期間区分F02F09_65歳未満以上[#Headers],0)),0)</f>
        <v>818</v>
      </c>
      <c r="D16" s="241">
        <f t="shared" si="0"/>
        <v>0.8824163969795038</v>
      </c>
      <c r="E16" s="239">
        <f>IFERROR(INDEX(年齢階層×在院期間区分F02F09_65歳未満以上[#All],MATCH($AK16,年齢階層×在院期間区分F02F09_65歳未満以上[[#All],[列1]],0),MATCH($AP$4,年齢階層×在院期間区分F02F09_65歳未満以上[#Headers],0)),0)+IFERROR(INDEX(年齢階層×在院期間区分F02F09_65歳未満以上[#All],MATCH($AK16,年齢階層×在院期間区分F02F09_65歳未満以上[[#All],[列1]],0),MATCH($AQ$4,年齢階層×在院期間区分F02F09_65歳未満以上[#Headers],0)),0)+IFERROR(INDEX(年齢階層×在院期間区分F02F09_65歳未満以上[#All],MATCH($AK16,年齢階層×在院期間区分F02F09_65歳未満以上[[#All],[列1]],0),MATCH($AR$4,年齢階層×在院期間区分F02F09_65歳未満以上[#Headers],0)),0)+IFERROR(INDEX(年齢階層×在院期間区分F02F09_65歳未満以上[#All],MATCH($AK16,年齢階層×在院期間区分F02F09_65歳未満以上[[#All],[列1]],0),MATCH($AS$4,年齢階層×在院期間区分F02F09_65歳未満以上[#Headers],0)),0)+IFERROR(INDEX(年齢階層×在院期間区分F02F09_65歳未満以上[#All],MATCH($AK16,年齢階層×在院期間区分F02F09_65歳未満以上[[#All],[列1]],0),MATCH($AT$4,年齢階層×在院期間区分F02F09_65歳未満以上[#Headers],0)),0)</f>
        <v>574</v>
      </c>
      <c r="F16" s="241">
        <f t="shared" si="1"/>
        <v>0.84911242603550297</v>
      </c>
      <c r="G16" s="239">
        <f>IFERROR(INDEX(年齢階層×在院期間区分F02F09_65歳未満以上[#All],MATCH($AK16,年齢階層×在院期間区分F02F09_65歳未満以上[[#All],[列1]],0),MATCH($AU$4,年齢階層×在院期間区分F02F09_65歳未満以上[#Headers],0)),0)+IFERROR(INDEX(年齢階層×在院期間区分F02F09_65歳未満以上[#All],MATCH($AK16,年齢階層×在院期間区分F02F09_65歳未満以上[[#All],[列1]],0),MATCH($AV$4,年齢階層×在院期間区分F02F09_65歳未満以上[#Headers],0)),0)+IFERROR(INDEX(年齢階層×在院期間区分F02F09_65歳未満以上[#All],MATCH($AK16,年齢階層×在院期間区分F02F09_65歳未満以上[[#All],[列1]],0),MATCH($AW$4,年齢階層×在院期間区分F02F09_65歳未満以上[#Headers],0)),0)+IFERROR(INDEX(年齢階層×在院期間区分F02F09_65歳未満以上[#All],MATCH($AK16,年齢階層×在院期間区分F02F09_65歳未満以上[[#All],[列1]],0),MATCH($AX$4,年齢階層×在院期間区分F02F09_65歳未満以上[#Headers],0)),0)+IFERROR(INDEX(年齢階層×在院期間区分F02F09_65歳未満以上[#All],MATCH($AK16,年齢階層×在院期間区分F02F09_65歳未満以上[[#All],[列1]],0),MATCH($AY$4,年齢階層×在院期間区分F02F09_65歳未満以上[#Headers],0)),0)</f>
        <v>150</v>
      </c>
      <c r="H16" s="241">
        <f t="shared" si="2"/>
        <v>0.81081081081081086</v>
      </c>
      <c r="I16" s="239">
        <f>IFERROR(INDEX(年齢階層×在院期間区分F02F09_65歳未満以上[#All],MATCH($AK16,年齢階層×在院期間区分F02F09_65歳未満以上[[#All],[列1]],0),MATCH($AZ$4,年齢階層×在院期間区分F02F09_65歳未満以上[#Headers],0)),0)+IFERROR(INDEX(年齢階層×在院期間区分F02F09_65歳未満以上[#All],MATCH($AK16,年齢階層×在院期間区分F02F09_65歳未満以上[[#All],[列1]],0),MATCH($BA$4,年齢階層×在院期間区分F02F09_65歳未満以上[#Headers],0)),0)</f>
        <v>82</v>
      </c>
      <c r="J16" s="241">
        <f t="shared" si="3"/>
        <v>0.76635514018691586</v>
      </c>
      <c r="K16" s="239">
        <f>C16+E16+G16+I16</f>
        <v>1624</v>
      </c>
      <c r="L16" s="241">
        <f t="shared" si="5"/>
        <v>0.85699208443271768</v>
      </c>
      <c r="O16" s="83" t="s">
        <v>306</v>
      </c>
      <c r="P16" s="66">
        <v>25</v>
      </c>
      <c r="Q16" s="66">
        <v>28</v>
      </c>
      <c r="R16" s="66">
        <v>23</v>
      </c>
      <c r="S16" s="66">
        <v>33</v>
      </c>
      <c r="T16" s="66">
        <v>20</v>
      </c>
      <c r="U16" s="66">
        <v>17</v>
      </c>
      <c r="V16" s="66">
        <v>26</v>
      </c>
      <c r="W16" s="66">
        <v>17</v>
      </c>
      <c r="X16" s="66">
        <v>22</v>
      </c>
      <c r="Y16" s="66">
        <v>10</v>
      </c>
      <c r="Z16" s="66">
        <v>7</v>
      </c>
      <c r="AA16" s="66">
        <v>5</v>
      </c>
      <c r="AB16" s="66">
        <v>6</v>
      </c>
      <c r="AC16" s="66">
        <v>7</v>
      </c>
      <c r="AD16" s="66">
        <v>22</v>
      </c>
      <c r="AE16" s="66">
        <v>3</v>
      </c>
      <c r="AK16" s="83" t="s">
        <v>88</v>
      </c>
    </row>
    <row r="17" spans="2:41" ht="18.75" customHeight="1" x14ac:dyDescent="0.15"/>
    <row r="18" spans="2:41" ht="18.75" customHeight="1" x14ac:dyDescent="0.15">
      <c r="B18" s="2" t="s">
        <v>165</v>
      </c>
    </row>
    <row r="19" spans="2:41" ht="18.75" customHeight="1" x14ac:dyDescent="0.15">
      <c r="B19" s="4" t="s">
        <v>229</v>
      </c>
    </row>
    <row r="20" spans="2:41" ht="18.75" customHeight="1" thickBot="1" x14ac:dyDescent="0.2">
      <c r="B20" s="714" t="s">
        <v>65</v>
      </c>
      <c r="C20" s="716" t="s">
        <v>64</v>
      </c>
      <c r="D20" s="717"/>
      <c r="E20" s="717"/>
      <c r="F20" s="717"/>
      <c r="G20" s="717"/>
      <c r="H20" s="717"/>
      <c r="I20" s="717"/>
      <c r="J20" s="717"/>
      <c r="K20" s="717"/>
      <c r="L20" s="718"/>
      <c r="O20" s="34" t="s">
        <v>63</v>
      </c>
    </row>
    <row r="21" spans="2:41" ht="18.75" customHeight="1" thickTop="1" thickBot="1" x14ac:dyDescent="0.2">
      <c r="B21" s="715"/>
      <c r="C21" s="719" t="s">
        <v>69</v>
      </c>
      <c r="D21" s="720"/>
      <c r="E21" s="719" t="s">
        <v>70</v>
      </c>
      <c r="F21" s="720"/>
      <c r="G21" s="719" t="s">
        <v>71</v>
      </c>
      <c r="H21" s="720"/>
      <c r="I21" s="719" t="s">
        <v>72</v>
      </c>
      <c r="J21" s="720"/>
      <c r="K21" s="719" t="s">
        <v>62</v>
      </c>
      <c r="L21" s="720"/>
      <c r="O21" s="429" t="s">
        <v>370</v>
      </c>
      <c r="P21" s="503" t="s">
        <v>183</v>
      </c>
      <c r="Q21" s="503" t="s">
        <v>182</v>
      </c>
      <c r="R21" s="503" t="s">
        <v>184</v>
      </c>
      <c r="S21" s="503" t="s">
        <v>185</v>
      </c>
      <c r="T21" s="503" t="s">
        <v>186</v>
      </c>
      <c r="U21" s="503" t="s">
        <v>187</v>
      </c>
      <c r="V21" s="503" t="s">
        <v>188</v>
      </c>
      <c r="W21" s="503" t="s">
        <v>189</v>
      </c>
      <c r="X21" s="503" t="s">
        <v>190</v>
      </c>
      <c r="Y21" s="503" t="s">
        <v>192</v>
      </c>
      <c r="Z21" s="503" t="s">
        <v>193</v>
      </c>
      <c r="AA21" s="503" t="s">
        <v>194</v>
      </c>
      <c r="AB21" s="503" t="s">
        <v>195</v>
      </c>
      <c r="AC21" s="503" t="s">
        <v>196</v>
      </c>
      <c r="AD21" s="503" t="s">
        <v>365</v>
      </c>
      <c r="AE21" s="56" t="s">
        <v>368</v>
      </c>
      <c r="AF21" s="22"/>
      <c r="AG21" s="22"/>
    </row>
    <row r="22" spans="2:41" s="22" customFormat="1" ht="18.75" customHeight="1" thickTop="1" x14ac:dyDescent="0.15">
      <c r="B22" s="228" t="s">
        <v>2</v>
      </c>
      <c r="C22" s="229">
        <f>IFERROR(INDEX(年齢階層×在院期間区分F02F09＿寛解・院内寛解[#All],MATCH($AK22,年齢階層×在院期間区分F02F09＿寛解・院内寛解[[#All],[行ラベル]],0),MATCH($AL$4,年齢階層×在院期間区分F02F09＿寛解・院内寛解[#Headers],0)),0)+IFERROR(INDEX(年齢階層×在院期間区分F02F09＿寛解・院内寛解[#All],MATCH($AK22,年齢階層×在院期間区分F02F09＿寛解・院内寛解[[#All],[行ラベル]],0),MATCH($AM$4,年齢階層×在院期間区分F02F09＿寛解・院内寛解[#Headers],0)),0)+IFERROR(INDEX(年齢階層×在院期間区分F02F09＿寛解・院内寛解[#All],MATCH($AK22,年齢階層×在院期間区分F02F09＿寛解・院内寛解[[#All],[行ラベル]],0),MATCH($AN$4,年齢階層×在院期間区分F02F09＿寛解・院内寛解[#Headers],0)),0)+IFERROR(INDEX(年齢階層×在院期間区分F02F09＿寛解・院内寛解[#All],MATCH($AK22,年齢階層×在院期間区分F02F09＿寛解・院内寛解[[#All],[行ラベル]],0),MATCH($AO$4,年齢階層×在院期間区分F02F09＿寛解・院内寛解[#Headers],0)),0)</f>
        <v>0</v>
      </c>
      <c r="D22" s="242">
        <f t="shared" ref="D22:D33" si="6">IFERROR(C22/$C$31,"-")</f>
        <v>0</v>
      </c>
      <c r="E22" s="229">
        <f>IFERROR(INDEX(年齢階層×在院期間区分F02F09＿寛解・院内寛解[#All],MATCH($AK22,年齢階層×在院期間区分F02F09＿寛解・院内寛解[[#All],[行ラベル]],0),MATCH($AP$4,年齢階層×在院期間区分F02F09＿寛解・院内寛解[#Headers],0)),0)+IFERROR(INDEX(年齢階層×在院期間区分F02F09＿寛解・院内寛解[#All],MATCH($AK22,年齢階層×在院期間区分F02F09＿寛解・院内寛解[[#All],[行ラベル]],0),MATCH($AQ$4,年齢階層×在院期間区分F02F09＿寛解・院内寛解[#Headers],0)),0)+IFERROR(INDEX(年齢階層×在院期間区分F02F09＿寛解・院内寛解[#All],MATCH($AK22,年齢階層×在院期間区分F02F09＿寛解・院内寛解[[#All],[行ラベル]],0),MATCH($AR$4,年齢階層×在院期間区分F02F09＿寛解・院内寛解[#Headers],0)),0)+IFERROR(INDEX(年齢階層×在院期間区分F02F09＿寛解・院内寛解[#All],MATCH($AK22,年齢階層×在院期間区分F02F09＿寛解・院内寛解[[#All],[行ラベル]],0),MATCH($AS$4,年齢階層×在院期間区分F02F09＿寛解・院内寛解[#Headers],0)),0)+IFERROR(INDEX(年齢階層×在院期間区分F02F09＿寛解・院内寛解[#All],MATCH($AK22,年齢階層×在院期間区分F02F09＿寛解・院内寛解[[#All],[行ラベル]],0),MATCH($AT$4,年齢階層×在院期間区分F02F09＿寛解・院内寛解[#Headers],0)),0)</f>
        <v>0</v>
      </c>
      <c r="F22" s="242">
        <f t="shared" ref="F22:F33" si="7">IFERROR(E22/$E$31,"-")</f>
        <v>0</v>
      </c>
      <c r="G22" s="223">
        <f>IFERROR(INDEX(年齢階層×在院期間区分F02F09＿寛解・院内寛解[#All],MATCH($AK22,年齢階層×在院期間区分F02F09＿寛解・院内寛解[[#All],[行ラベル]],0),MATCH($AU$4,年齢階層×在院期間区分F02F09＿寛解・院内寛解[#Headers],0)),0)+IFERROR(INDEX(年齢階層×在院期間区分F02F09＿寛解・院内寛解[#All],MATCH($AK22,年齢階層×在院期間区分F02F09＿寛解・院内寛解[[#All],[行ラベル]],0),MATCH($AV$4,年齢階層×在院期間区分F02F09＿寛解・院内寛解[#Headers],0)),0)+IFERROR(INDEX(年齢階層×在院期間区分F02F09＿寛解・院内寛解[#All],MATCH($AK22,年齢階層×在院期間区分F02F09＿寛解・院内寛解[[#All],[行ラベル]],0),MATCH($AW$4,年齢階層×在院期間区分F02F09＿寛解・院内寛解[#Headers],0)),0)+IFERROR(INDEX(年齢階層×在院期間区分F02F09＿寛解・院内寛解[#All],MATCH($AK22,年齢階層×在院期間区分F02F09＿寛解・院内寛解[[#All],[行ラベル]],0),MATCH($AX$4,年齢階層×在院期間区分F02F09＿寛解・院内寛解[#Headers],0)),0)+IFERROR(INDEX(年齢階層×在院期間区分F02F09＿寛解・院内寛解[#All],MATCH($AK22,年齢階層×在院期間区分F02F09＿寛解・院内寛解[[#All],[行ラベル]],0),MATCH($AY$4,年齢階層×在院期間区分F02F09＿寛解・院内寛解[#Headers],0)),0)</f>
        <v>0</v>
      </c>
      <c r="H22" s="242">
        <f t="shared" ref="H22:H33" si="8">IFERROR(G22/$G$31,"-")</f>
        <v>0</v>
      </c>
      <c r="I22" s="229">
        <f>IFERROR(INDEX(年齢階層×在院期間区分F02F09＿寛解・院内寛解[#All],MATCH($AK22,年齢階層×在院期間区分F02F09＿寛解・院内寛解[[#All],[行ラベル]],0),MATCH($AZ$4,年齢階層×在院期間区分F02F09＿寛解・院内寛解[#Headers],0)),0)+IFERROR(INDEX(年齢階層×在院期間区分F02F09＿寛解・院内寛解[#All],MATCH($AK22,年齢階層×在院期間区分F02F09＿寛解・院内寛解[[#All],[行ラベル]],0),MATCH($BA$4,年齢階層×在院期間区分F02F09＿寛解・院内寛解[#Headers],0)),0)</f>
        <v>0</v>
      </c>
      <c r="J22" s="242">
        <f t="shared" ref="J22:J33" si="9">IFERROR(I22/$I$31,"-")</f>
        <v>0</v>
      </c>
      <c r="K22" s="223">
        <f t="shared" ref="K22:K30" si="10">SUM(C22,E22,G22,I22)</f>
        <v>0</v>
      </c>
      <c r="L22" s="242">
        <f t="shared" ref="L22:L33" si="11">IFERROR(K22/$K$31,"-")</f>
        <v>0</v>
      </c>
      <c r="O22" s="54" t="s">
        <v>4</v>
      </c>
      <c r="P22" s="66">
        <v>1</v>
      </c>
      <c r="Q22" s="66"/>
      <c r="R22" s="66"/>
      <c r="S22" s="66"/>
      <c r="T22" s="66"/>
      <c r="U22" s="66"/>
      <c r="V22" s="66"/>
      <c r="W22" s="66"/>
      <c r="X22" s="66"/>
      <c r="Y22" s="66"/>
      <c r="Z22" s="66"/>
      <c r="AA22" s="66"/>
      <c r="AB22" s="66"/>
      <c r="AC22" s="66"/>
      <c r="AD22" s="66"/>
      <c r="AE22" s="66"/>
      <c r="AK22" s="54" t="s">
        <v>2</v>
      </c>
    </row>
    <row r="23" spans="2:41" s="22" customFormat="1" ht="18.75" customHeight="1" x14ac:dyDescent="0.15">
      <c r="B23" s="230" t="s">
        <v>3</v>
      </c>
      <c r="C23" s="231">
        <f>IFERROR(INDEX(年齢階層×在院期間区分F02F09＿寛解・院内寛解[#All],MATCH($AK23,年齢階層×在院期間区分F02F09＿寛解・院内寛解[[#All],[行ラベル]],0),MATCH($AL$4,年齢階層×在院期間区分F02F09＿寛解・院内寛解[#Headers],0)),0)+IFERROR(INDEX(年齢階層×在院期間区分F02F09＿寛解・院内寛解[#All],MATCH($AK23,年齢階層×在院期間区分F02F09＿寛解・院内寛解[[#All],[行ラベル]],0),MATCH($AM$4,年齢階層×在院期間区分F02F09＿寛解・院内寛解[#Headers],0)),0)+IFERROR(INDEX(年齢階層×在院期間区分F02F09＿寛解・院内寛解[#All],MATCH($AK23,年齢階層×在院期間区分F02F09＿寛解・院内寛解[[#All],[行ラベル]],0),MATCH($AN$4,年齢階層×在院期間区分F02F09＿寛解・院内寛解[#Headers],0)),0)+IFERROR(INDEX(年齢階層×在院期間区分F02F09＿寛解・院内寛解[#All],MATCH($AK23,年齢階層×在院期間区分F02F09＿寛解・院内寛解[[#All],[行ラベル]],0),MATCH($AO$4,年齢階層×在院期間区分F02F09＿寛解・院内寛解[#Headers],0)),0)</f>
        <v>0</v>
      </c>
      <c r="D23" s="209">
        <f t="shared" si="6"/>
        <v>0</v>
      </c>
      <c r="E23" s="231">
        <f>IFERROR(INDEX(年齢階層×在院期間区分F02F09＿寛解・院内寛解[#All],MATCH($AK23,年齢階層×在院期間区分F02F09＿寛解・院内寛解[[#All],[行ラベル]],0),MATCH($AP$4,年齢階層×在院期間区分F02F09＿寛解・院内寛解[#Headers],0)),0)+IFERROR(INDEX(年齢階層×在院期間区分F02F09＿寛解・院内寛解[#All],MATCH($AK23,年齢階層×在院期間区分F02F09＿寛解・院内寛解[[#All],[行ラベル]],0),MATCH($AQ$4,年齢階層×在院期間区分F02F09＿寛解・院内寛解[#Headers],0)),0)+IFERROR(INDEX(年齢階層×在院期間区分F02F09＿寛解・院内寛解[#All],MATCH($AK23,年齢階層×在院期間区分F02F09＿寛解・院内寛解[[#All],[行ラベル]],0),MATCH($AR$4,年齢階層×在院期間区分F02F09＿寛解・院内寛解[#Headers],0)),0)+IFERROR(INDEX(年齢階層×在院期間区分F02F09＿寛解・院内寛解[#All],MATCH($AK23,年齢階層×在院期間区分F02F09＿寛解・院内寛解[[#All],[行ラベル]],0),MATCH($AS$4,年齢階層×在院期間区分F02F09＿寛解・院内寛解[#Headers],0)),0)+IFERROR(INDEX(年齢階層×在院期間区分F02F09＿寛解・院内寛解[#All],MATCH($AK23,年齢階層×在院期間区分F02F09＿寛解・院内寛解[[#All],[行ラベル]],0),MATCH($AT$4,年齢階層×在院期間区分F02F09＿寛解・院内寛解[#Headers],0)),0)</f>
        <v>0</v>
      </c>
      <c r="F23" s="209">
        <f t="shared" si="7"/>
        <v>0</v>
      </c>
      <c r="G23" s="208">
        <f>IFERROR(INDEX(年齢階層×在院期間区分F02F09＿寛解・院内寛解[#All],MATCH($AK23,年齢階層×在院期間区分F02F09＿寛解・院内寛解[[#All],[行ラベル]],0),MATCH($AU$4,年齢階層×在院期間区分F02F09＿寛解・院内寛解[#Headers],0)),0)+IFERROR(INDEX(年齢階層×在院期間区分F02F09＿寛解・院内寛解[#All],MATCH($AK23,年齢階層×在院期間区分F02F09＿寛解・院内寛解[[#All],[行ラベル]],0),MATCH($AV$4,年齢階層×在院期間区分F02F09＿寛解・院内寛解[#Headers],0)),0)+IFERROR(INDEX(年齢階層×在院期間区分F02F09＿寛解・院内寛解[#All],MATCH($AK23,年齢階層×在院期間区分F02F09＿寛解・院内寛解[[#All],[行ラベル]],0),MATCH($AW$4,年齢階層×在院期間区分F02F09＿寛解・院内寛解[#Headers],0)),0)+IFERROR(INDEX(年齢階層×在院期間区分F02F09＿寛解・院内寛解[#All],MATCH($AK23,年齢階層×在院期間区分F02F09＿寛解・院内寛解[[#All],[行ラベル]],0),MATCH($AX$4,年齢階層×在院期間区分F02F09＿寛解・院内寛解[#Headers],0)),0)+IFERROR(INDEX(年齢階層×在院期間区分F02F09＿寛解・院内寛解[#All],MATCH($AK23,年齢階層×在院期間区分F02F09＿寛解・院内寛解[[#All],[行ラベル]],0),MATCH($AY$4,年齢階層×在院期間区分F02F09＿寛解・院内寛解[#Headers],0)),0)</f>
        <v>0</v>
      </c>
      <c r="H23" s="209">
        <f t="shared" si="8"/>
        <v>0</v>
      </c>
      <c r="I23" s="231">
        <f>IFERROR(INDEX(年齢階層×在院期間区分F02F09＿寛解・院内寛解[#All],MATCH($AK23,年齢階層×在院期間区分F02F09＿寛解・院内寛解[[#All],[行ラベル]],0),MATCH($AZ$4,年齢階層×在院期間区分F02F09＿寛解・院内寛解[#Headers],0)),0)+IFERROR(INDEX(年齢階層×在院期間区分F02F09＿寛解・院内寛解[#All],MATCH($AK23,年齢階層×在院期間区分F02F09＿寛解・院内寛解[[#All],[行ラベル]],0),MATCH($BA$4,年齢階層×在院期間区分F02F09＿寛解・院内寛解[#Headers],0)),0)</f>
        <v>0</v>
      </c>
      <c r="J23" s="209">
        <f t="shared" si="9"/>
        <v>0</v>
      </c>
      <c r="K23" s="208">
        <f t="shared" si="10"/>
        <v>0</v>
      </c>
      <c r="L23" s="209">
        <f t="shared" si="11"/>
        <v>0</v>
      </c>
      <c r="O23" s="54" t="s">
        <v>5</v>
      </c>
      <c r="P23" s="66">
        <v>1</v>
      </c>
      <c r="Q23" s="66">
        <v>2</v>
      </c>
      <c r="R23" s="66"/>
      <c r="S23" s="66"/>
      <c r="T23" s="66">
        <v>1</v>
      </c>
      <c r="U23" s="66">
        <v>1</v>
      </c>
      <c r="V23" s="66"/>
      <c r="W23" s="66"/>
      <c r="X23" s="66"/>
      <c r="Y23" s="66"/>
      <c r="Z23" s="66"/>
      <c r="AA23" s="66"/>
      <c r="AB23" s="66">
        <v>1</v>
      </c>
      <c r="AC23" s="66"/>
      <c r="AD23" s="66"/>
      <c r="AE23" s="66"/>
      <c r="AK23" s="54" t="s">
        <v>3</v>
      </c>
    </row>
    <row r="24" spans="2:41" s="22" customFormat="1" ht="18.75" customHeight="1" x14ac:dyDescent="0.15">
      <c r="B24" s="230" t="s">
        <v>4</v>
      </c>
      <c r="C24" s="208">
        <f>IFERROR(INDEX(年齢階層×在院期間区分F02F09＿寛解・院内寛解[#All],MATCH($AK24,年齢階層×在院期間区分F02F09＿寛解・院内寛解[[#All],[行ラベル]],0),MATCH($AL$4,年齢階層×在院期間区分F02F09＿寛解・院内寛解[#Headers],0)),0)+IFERROR(INDEX(年齢階層×在院期間区分F02F09＿寛解・院内寛解[#All],MATCH($AK24,年齢階層×在院期間区分F02F09＿寛解・院内寛解[[#All],[行ラベル]],0),MATCH($AM$4,年齢階層×在院期間区分F02F09＿寛解・院内寛解[#Headers],0)),0)+IFERROR(INDEX(年齢階層×在院期間区分F02F09＿寛解・院内寛解[#All],MATCH($AK24,年齢階層×在院期間区分F02F09＿寛解・院内寛解[[#All],[行ラベル]],0),MATCH($AN$4,年齢階層×在院期間区分F02F09＿寛解・院内寛解[#Headers],0)),0)+IFERROR(INDEX(年齢階層×在院期間区分F02F09＿寛解・院内寛解[#All],MATCH($AK24,年齢階層×在院期間区分F02F09＿寛解・院内寛解[[#All],[行ラベル]],0),MATCH($AO$4,年齢階層×在院期間区分F02F09＿寛解・院内寛解[#Headers],0)),0)</f>
        <v>1</v>
      </c>
      <c r="D24" s="209">
        <f t="shared" si="6"/>
        <v>0.01</v>
      </c>
      <c r="E24" s="231">
        <f>IFERROR(INDEX(年齢階層×在院期間区分F02F09＿寛解・院内寛解[#All],MATCH($AK24,年齢階層×在院期間区分F02F09＿寛解・院内寛解[[#All],[行ラベル]],0),MATCH($AP$4,年齢階層×在院期間区分F02F09＿寛解・院内寛解[#Headers],0)),0)+IFERROR(INDEX(年齢階層×在院期間区分F02F09＿寛解・院内寛解[#All],MATCH($AK24,年齢階層×在院期間区分F02F09＿寛解・院内寛解[[#All],[行ラベル]],0),MATCH($AQ$4,年齢階層×在院期間区分F02F09＿寛解・院内寛解[#Headers],0)),0)+IFERROR(INDEX(年齢階層×在院期間区分F02F09＿寛解・院内寛解[#All],MATCH($AK24,年齢階層×在院期間区分F02F09＿寛解・院内寛解[[#All],[行ラベル]],0),MATCH($AR$4,年齢階層×在院期間区分F02F09＿寛解・院内寛解[#Headers],0)),0)+IFERROR(INDEX(年齢階層×在院期間区分F02F09＿寛解・院内寛解[#All],MATCH($AK24,年齢階層×在院期間区分F02F09＿寛解・院内寛解[[#All],[行ラベル]],0),MATCH($AS$4,年齢階層×在院期間区分F02F09＿寛解・院内寛解[#Headers],0)),0)+IFERROR(INDEX(年齢階層×在院期間区分F02F09＿寛解・院内寛解[#All],MATCH($AK24,年齢階層×在院期間区分F02F09＿寛解・院内寛解[[#All],[行ラベル]],0),MATCH($AT$4,年齢階層×在院期間区分F02F09＿寛解・院内寛解[#Headers],0)),0)</f>
        <v>0</v>
      </c>
      <c r="F24" s="209">
        <f t="shared" si="7"/>
        <v>0</v>
      </c>
      <c r="G24" s="232">
        <f>IFERROR(INDEX(年齢階層×在院期間区分F02F09＿寛解・院内寛解[#All],MATCH($AK24,年齢階層×在院期間区分F02F09＿寛解・院内寛解[[#All],[行ラベル]],0),MATCH($AU$4,年齢階層×在院期間区分F02F09＿寛解・院内寛解[#Headers],0)),0)+IFERROR(INDEX(年齢階層×在院期間区分F02F09＿寛解・院内寛解[#All],MATCH($AK24,年齢階層×在院期間区分F02F09＿寛解・院内寛解[[#All],[行ラベル]],0),MATCH($AV$4,年齢階層×在院期間区分F02F09＿寛解・院内寛解[#Headers],0)),0)+IFERROR(INDEX(年齢階層×在院期間区分F02F09＿寛解・院内寛解[#All],MATCH($AK24,年齢階層×在院期間区分F02F09＿寛解・院内寛解[[#All],[行ラベル]],0),MATCH($AW$4,年齢階層×在院期間区分F02F09＿寛解・院内寛解[#Headers],0)),0)+IFERROR(INDEX(年齢階層×在院期間区分F02F09＿寛解・院内寛解[#All],MATCH($AK24,年齢階層×在院期間区分F02F09＿寛解・院内寛解[[#All],[行ラベル]],0),MATCH($AX$4,年齢階層×在院期間区分F02F09＿寛解・院内寛解[#Headers],0)),0)+IFERROR(INDEX(年齢階層×在院期間区分F02F09＿寛解・院内寛解[#All],MATCH($AK24,年齢階層×在院期間区分F02F09＿寛解・院内寛解[[#All],[行ラベル]],0),MATCH($AY$4,年齢階層×在院期間区分F02F09＿寛解・院内寛解[#Headers],0)),0)</f>
        <v>0</v>
      </c>
      <c r="H24" s="209">
        <f t="shared" si="8"/>
        <v>0</v>
      </c>
      <c r="I24" s="208">
        <f>IFERROR(INDEX(年齢階層×在院期間区分F02F09＿寛解・院内寛解[#All],MATCH($AK24,年齢階層×在院期間区分F02F09＿寛解・院内寛解[[#All],[行ラベル]],0),MATCH($AZ$4,年齢階層×在院期間区分F02F09＿寛解・院内寛解[#Headers],0)),0)+IFERROR(INDEX(年齢階層×在院期間区分F02F09＿寛解・院内寛解[#All],MATCH($AK24,年齢階層×在院期間区分F02F09＿寛解・院内寛解[[#All],[行ラベル]],0),MATCH($BA$4,年齢階層×在院期間区分F02F09＿寛解・院内寛解[#Headers],0)),0)</f>
        <v>0</v>
      </c>
      <c r="J24" s="209">
        <f t="shared" si="9"/>
        <v>0</v>
      </c>
      <c r="K24" s="208">
        <f t="shared" si="10"/>
        <v>1</v>
      </c>
      <c r="L24" s="209">
        <f t="shared" si="11"/>
        <v>6.41025641025641E-3</v>
      </c>
      <c r="O24" s="54" t="s">
        <v>6</v>
      </c>
      <c r="P24" s="66">
        <v>3</v>
      </c>
      <c r="Q24" s="66">
        <v>1</v>
      </c>
      <c r="R24" s="66">
        <v>2</v>
      </c>
      <c r="S24" s="66"/>
      <c r="T24" s="66"/>
      <c r="U24" s="66">
        <v>2</v>
      </c>
      <c r="V24" s="66"/>
      <c r="W24" s="66"/>
      <c r="X24" s="66"/>
      <c r="Y24" s="66"/>
      <c r="Z24" s="66"/>
      <c r="AA24" s="66"/>
      <c r="AB24" s="66"/>
      <c r="AC24" s="66"/>
      <c r="AD24" s="66"/>
      <c r="AE24" s="66"/>
      <c r="AK24" s="54" t="s">
        <v>4</v>
      </c>
    </row>
    <row r="25" spans="2:41" s="22" customFormat="1" ht="18.75" customHeight="1" x14ac:dyDescent="0.15">
      <c r="B25" s="230" t="s">
        <v>5</v>
      </c>
      <c r="C25" s="208">
        <f>IFERROR(INDEX(年齢階層×在院期間区分F02F09＿寛解・院内寛解[#All],MATCH($AK25,年齢階層×在院期間区分F02F09＿寛解・院内寛解[[#All],[行ラベル]],0),MATCH($AL$4,年齢階層×在院期間区分F02F09＿寛解・院内寛解[#Headers],0)),0)+IFERROR(INDEX(年齢階層×在院期間区分F02F09＿寛解・院内寛解[#All],MATCH($AK25,年齢階層×在院期間区分F02F09＿寛解・院内寛解[[#All],[行ラベル]],0),MATCH($AM$4,年齢階層×在院期間区分F02F09＿寛解・院内寛解[#Headers],0)),0)+IFERROR(INDEX(年齢階層×在院期間区分F02F09＿寛解・院内寛解[#All],MATCH($AK25,年齢階層×在院期間区分F02F09＿寛解・院内寛解[[#All],[行ラベル]],0),MATCH($AN$4,年齢階層×在院期間区分F02F09＿寛解・院内寛解[#Headers],0)),0)+IFERROR(INDEX(年齢階層×在院期間区分F02F09＿寛解・院内寛解[#All],MATCH($AK25,年齢階層×在院期間区分F02F09＿寛解・院内寛解[[#All],[行ラベル]],0),MATCH($AO$4,年齢階層×在院期間区分F02F09＿寛解・院内寛解[#Headers],0)),0)</f>
        <v>3</v>
      </c>
      <c r="D25" s="209">
        <f t="shared" si="6"/>
        <v>0.03</v>
      </c>
      <c r="E25" s="208">
        <f>IFERROR(INDEX(年齢階層×在院期間区分F02F09＿寛解・院内寛解[#All],MATCH($AK25,年齢階層×在院期間区分F02F09＿寛解・院内寛解[[#All],[行ラベル]],0),MATCH($AP$4,年齢階層×在院期間区分F02F09＿寛解・院内寛解[#Headers],0)),0)+IFERROR(INDEX(年齢階層×在院期間区分F02F09＿寛解・院内寛解[#All],MATCH($AK25,年齢階層×在院期間区分F02F09＿寛解・院内寛解[[#All],[行ラベル]],0),MATCH($AQ$4,年齢階層×在院期間区分F02F09＿寛解・院内寛解[#Headers],0)),0)+IFERROR(INDEX(年齢階層×在院期間区分F02F09＿寛解・院内寛解[#All],MATCH($AK25,年齢階層×在院期間区分F02F09＿寛解・院内寛解[[#All],[行ラベル]],0),MATCH($AR$4,年齢階層×在院期間区分F02F09＿寛解・院内寛解[#Headers],0)),0)+IFERROR(INDEX(年齢階層×在院期間区分F02F09＿寛解・院内寛解[#All],MATCH($AK25,年齢階層×在院期間区分F02F09＿寛解・院内寛解[[#All],[行ラベル]],0),MATCH($AS$4,年齢階層×在院期間区分F02F09＿寛解・院内寛解[#Headers],0)),0)+IFERROR(INDEX(年齢階層×在院期間区分F02F09＿寛解・院内寛解[#All],MATCH($AK25,年齢階層×在院期間区分F02F09＿寛解・院内寛解[[#All],[行ラベル]],0),MATCH($AT$4,年齢階層×在院期間区分F02F09＿寛解・院内寛解[#Headers],0)),0)</f>
        <v>2</v>
      </c>
      <c r="F25" s="209">
        <f t="shared" si="7"/>
        <v>4.2553191489361701E-2</v>
      </c>
      <c r="G25" s="208">
        <f>IFERROR(INDEX(年齢階層×在院期間区分F02F09＿寛解・院内寛解[#All],MATCH($AK25,年齢階層×在院期間区分F02F09＿寛解・院内寛解[[#All],[行ラベル]],0),MATCH($AU$4,年齢階層×在院期間区分F02F09＿寛解・院内寛解[#Headers],0)),0)+IFERROR(INDEX(年齢階層×在院期間区分F02F09＿寛解・院内寛解[#All],MATCH($AK25,年齢階層×在院期間区分F02F09＿寛解・院内寛解[[#All],[行ラベル]],0),MATCH($AV$4,年齢階層×在院期間区分F02F09＿寛解・院内寛解[#Headers],0)),0)+IFERROR(INDEX(年齢階層×在院期間区分F02F09＿寛解・院内寛解[#All],MATCH($AK25,年齢階層×在院期間区分F02F09＿寛解・院内寛解[[#All],[行ラベル]],0),MATCH($AW$4,年齢階層×在院期間区分F02F09＿寛解・院内寛解[#Headers],0)),0)+IFERROR(INDEX(年齢階層×在院期間区分F02F09＿寛解・院内寛解[#All],MATCH($AK25,年齢階層×在院期間区分F02F09＿寛解・院内寛解[[#All],[行ラベル]],0),MATCH($AX$4,年齢階層×在院期間区分F02F09＿寛解・院内寛解[#Headers],0)),0)+IFERROR(INDEX(年齢階層×在院期間区分F02F09＿寛解・院内寛解[#All],MATCH($AK25,年齢階層×在院期間区分F02F09＿寛解・院内寛解[[#All],[行ラベル]],0),MATCH($AY$4,年齢階層×在院期間区分F02F09＿寛解・院内寛解[#Headers],0)),0)</f>
        <v>1</v>
      </c>
      <c r="H25" s="209">
        <f t="shared" si="8"/>
        <v>0.16666666666666666</v>
      </c>
      <c r="I25" s="208">
        <f>IFERROR(INDEX(年齢階層×在院期間区分F02F09＿寛解・院内寛解[#All],MATCH($AK25,年齢階層×在院期間区分F02F09＿寛解・院内寛解[[#All],[行ラベル]],0),MATCH($AZ$4,年齢階層×在院期間区分F02F09＿寛解・院内寛解[#Headers],0)),0)+IFERROR(INDEX(年齢階層×在院期間区分F02F09＿寛解・院内寛解[#All],MATCH($AK25,年齢階層×在院期間区分F02F09＿寛解・院内寛解[[#All],[行ラベル]],0),MATCH($BA$4,年齢階層×在院期間区分F02F09＿寛解・院内寛解[#Headers],0)),0)</f>
        <v>0</v>
      </c>
      <c r="J25" s="209">
        <f t="shared" si="9"/>
        <v>0</v>
      </c>
      <c r="K25" s="208">
        <f t="shared" si="10"/>
        <v>6</v>
      </c>
      <c r="L25" s="209">
        <f t="shared" si="11"/>
        <v>3.8461538461538464E-2</v>
      </c>
      <c r="O25" s="54" t="s">
        <v>7</v>
      </c>
      <c r="P25" s="66">
        <v>4</v>
      </c>
      <c r="Q25" s="66">
        <v>4</v>
      </c>
      <c r="R25" s="66">
        <v>4</v>
      </c>
      <c r="S25" s="66">
        <v>2</v>
      </c>
      <c r="T25" s="66">
        <v>1</v>
      </c>
      <c r="U25" s="66"/>
      <c r="V25" s="66"/>
      <c r="W25" s="66">
        <v>2</v>
      </c>
      <c r="X25" s="66">
        <v>3</v>
      </c>
      <c r="Y25" s="66"/>
      <c r="Z25" s="66">
        <v>1</v>
      </c>
      <c r="AA25" s="66">
        <v>1</v>
      </c>
      <c r="AB25" s="66"/>
      <c r="AC25" s="66">
        <v>1</v>
      </c>
      <c r="AD25" s="66"/>
      <c r="AE25" s="66"/>
      <c r="AK25" s="54" t="s">
        <v>5</v>
      </c>
    </row>
    <row r="26" spans="2:41" s="22" customFormat="1" ht="18.75" customHeight="1" x14ac:dyDescent="0.15">
      <c r="B26" s="230" t="s">
        <v>6</v>
      </c>
      <c r="C26" s="232">
        <f>IFERROR(INDEX(年齢階層×在院期間区分F02F09＿寛解・院内寛解[#All],MATCH($AK26,年齢階層×在院期間区分F02F09＿寛解・院内寛解[[#All],[行ラベル]],0),MATCH($AL$4,年齢階層×在院期間区分F02F09＿寛解・院内寛解[#Headers],0)),0)+IFERROR(INDEX(年齢階層×在院期間区分F02F09＿寛解・院内寛解[#All],MATCH($AK26,年齢階層×在院期間区分F02F09＿寛解・院内寛解[[#All],[行ラベル]],0),MATCH($AM$4,年齢階層×在院期間区分F02F09＿寛解・院内寛解[#Headers],0)),0)+IFERROR(INDEX(年齢階層×在院期間区分F02F09＿寛解・院内寛解[#All],MATCH($AK26,年齢階層×在院期間区分F02F09＿寛解・院内寛解[[#All],[行ラベル]],0),MATCH($AN$4,年齢階層×在院期間区分F02F09＿寛解・院内寛解[#Headers],0)),0)+IFERROR(INDEX(年齢階層×在院期間区分F02F09＿寛解・院内寛解[#All],MATCH($AK26,年齢階層×在院期間区分F02F09＿寛解・院内寛解[[#All],[行ラベル]],0),MATCH($AO$4,年齢階層×在院期間区分F02F09＿寛解・院内寛解[#Headers],0)),0)</f>
        <v>6</v>
      </c>
      <c r="D26" s="209">
        <f t="shared" si="6"/>
        <v>0.06</v>
      </c>
      <c r="E26" s="208">
        <f>IFERROR(INDEX(年齢階層×在院期間区分F02F09＿寛解・院内寛解[#All],MATCH($AK26,年齢階層×在院期間区分F02F09＿寛解・院内寛解[[#All],[行ラベル]],0),MATCH($AP$4,年齢階層×在院期間区分F02F09＿寛解・院内寛解[#Headers],0)),0)+IFERROR(INDEX(年齢階層×在院期間区分F02F09＿寛解・院内寛解[#All],MATCH($AK26,年齢階層×在院期間区分F02F09＿寛解・院内寛解[[#All],[行ラベル]],0),MATCH($AQ$4,年齢階層×在院期間区分F02F09＿寛解・院内寛解[#Headers],0)),0)+IFERROR(INDEX(年齢階層×在院期間区分F02F09＿寛解・院内寛解[#All],MATCH($AK26,年齢階層×在院期間区分F02F09＿寛解・院内寛解[[#All],[行ラベル]],0),MATCH($AR$4,年齢階層×在院期間区分F02F09＿寛解・院内寛解[#Headers],0)),0)+IFERROR(INDEX(年齢階層×在院期間区分F02F09＿寛解・院内寛解[#All],MATCH($AK26,年齢階層×在院期間区分F02F09＿寛解・院内寛解[[#All],[行ラベル]],0),MATCH($AS$4,年齢階層×在院期間区分F02F09＿寛解・院内寛解[#Headers],0)),0)+IFERROR(INDEX(年齢階層×在院期間区分F02F09＿寛解・院内寛解[#All],MATCH($AK26,年齢階層×在院期間区分F02F09＿寛解・院内寛解[[#All],[行ラベル]],0),MATCH($AT$4,年齢階層×在院期間区分F02F09＿寛解・院内寛解[#Headers],0)),0)</f>
        <v>2</v>
      </c>
      <c r="F26" s="209">
        <f t="shared" si="7"/>
        <v>4.2553191489361701E-2</v>
      </c>
      <c r="G26" s="232">
        <f>IFERROR(INDEX(年齢階層×在院期間区分F02F09＿寛解・院内寛解[#All],MATCH($AK26,年齢階層×在院期間区分F02F09＿寛解・院内寛解[[#All],[行ラベル]],0),MATCH($AU$4,年齢階層×在院期間区分F02F09＿寛解・院内寛解[#Headers],0)),0)+IFERROR(INDEX(年齢階層×在院期間区分F02F09＿寛解・院内寛解[#All],MATCH($AK26,年齢階層×在院期間区分F02F09＿寛解・院内寛解[[#All],[行ラベル]],0),MATCH($AV$4,年齢階層×在院期間区分F02F09＿寛解・院内寛解[#Headers],0)),0)+IFERROR(INDEX(年齢階層×在院期間区分F02F09＿寛解・院内寛解[#All],MATCH($AK26,年齢階層×在院期間区分F02F09＿寛解・院内寛解[[#All],[行ラベル]],0),MATCH($AW$4,年齢階層×在院期間区分F02F09＿寛解・院内寛解[#Headers],0)),0)+IFERROR(INDEX(年齢階層×在院期間区分F02F09＿寛解・院内寛解[#All],MATCH($AK26,年齢階層×在院期間区分F02F09＿寛解・院内寛解[[#All],[行ラベル]],0),MATCH($AX$4,年齢階層×在院期間区分F02F09＿寛解・院内寛解[#Headers],0)),0)+IFERROR(INDEX(年齢階層×在院期間区分F02F09＿寛解・院内寛解[#All],MATCH($AK26,年齢階層×在院期間区分F02F09＿寛解・院内寛解[[#All],[行ラベル]],0),MATCH($AY$4,年齢階層×在院期間区分F02F09＿寛解・院内寛解[#Headers],0)),0)</f>
        <v>0</v>
      </c>
      <c r="H26" s="209">
        <f t="shared" si="8"/>
        <v>0</v>
      </c>
      <c r="I26" s="208">
        <f>IFERROR(INDEX(年齢階層×在院期間区分F02F09＿寛解・院内寛解[#All],MATCH($AK26,年齢階層×在院期間区分F02F09＿寛解・院内寛解[[#All],[行ラベル]],0),MATCH($AZ$4,年齢階層×在院期間区分F02F09＿寛解・院内寛解[#Headers],0)),0)+IFERROR(INDEX(年齢階層×在院期間区分F02F09＿寛解・院内寛解[#All],MATCH($AK26,年齢階層×在院期間区分F02F09＿寛解・院内寛解[[#All],[行ラベル]],0),MATCH($BA$4,年齢階層×在院期間区分F02F09＿寛解・院内寛解[#Headers],0)),0)</f>
        <v>0</v>
      </c>
      <c r="J26" s="209">
        <f t="shared" si="9"/>
        <v>0</v>
      </c>
      <c r="K26" s="208">
        <f t="shared" si="10"/>
        <v>8</v>
      </c>
      <c r="L26" s="209">
        <f t="shared" si="11"/>
        <v>5.128205128205128E-2</v>
      </c>
      <c r="O26" s="54" t="s">
        <v>8</v>
      </c>
      <c r="P26" s="66">
        <v>15</v>
      </c>
      <c r="Q26" s="66">
        <v>6</v>
      </c>
      <c r="R26" s="66">
        <v>5</v>
      </c>
      <c r="S26" s="66">
        <v>3</v>
      </c>
      <c r="T26" s="66">
        <v>4</v>
      </c>
      <c r="U26" s="66">
        <v>1</v>
      </c>
      <c r="V26" s="66">
        <v>7</v>
      </c>
      <c r="W26" s="66">
        <v>2</v>
      </c>
      <c r="X26" s="66"/>
      <c r="Y26" s="66"/>
      <c r="Z26" s="66"/>
      <c r="AA26" s="66"/>
      <c r="AB26" s="66"/>
      <c r="AC26" s="66">
        <v>2</v>
      </c>
      <c r="AD26" s="66"/>
      <c r="AE26" s="66"/>
      <c r="AK26" s="54" t="s">
        <v>6</v>
      </c>
    </row>
    <row r="27" spans="2:41" s="22" customFormat="1" ht="18.75" customHeight="1" x14ac:dyDescent="0.15">
      <c r="B27" s="230" t="s">
        <v>7</v>
      </c>
      <c r="C27" s="231">
        <f>IFERROR(INDEX(年齢階層×在院期間区分F02F09＿寛解・院内寛解[#All],MATCH($AK27,年齢階層×在院期間区分F02F09＿寛解・院内寛解[[#All],[行ラベル]],0),MATCH($AL$4,年齢階層×在院期間区分F02F09＿寛解・院内寛解[#Headers],0)),0)+IFERROR(INDEX(年齢階層×在院期間区分F02F09＿寛解・院内寛解[#All],MATCH($AK27,年齢階層×在院期間区分F02F09＿寛解・院内寛解[[#All],[行ラベル]],0),MATCH($AM$4,年齢階層×在院期間区分F02F09＿寛解・院内寛解[#Headers],0)),0)+IFERROR(INDEX(年齢階層×在院期間区分F02F09＿寛解・院内寛解[#All],MATCH($AK27,年齢階層×在院期間区分F02F09＿寛解・院内寛解[[#All],[行ラベル]],0),MATCH($AN$4,年齢階層×在院期間区分F02F09＿寛解・院内寛解[#Headers],0)),0)+IFERROR(INDEX(年齢階層×在院期間区分F02F09＿寛解・院内寛解[#All],MATCH($AK27,年齢階層×在院期間区分F02F09＿寛解・院内寛解[[#All],[行ラベル]],0),MATCH($AO$4,年齢階層×在院期間区分F02F09＿寛解・院内寛解[#Headers],0)),0)</f>
        <v>14</v>
      </c>
      <c r="D27" s="209">
        <f t="shared" si="6"/>
        <v>0.14000000000000001</v>
      </c>
      <c r="E27" s="208">
        <f>IFERROR(INDEX(年齢階層×在院期間区分F02F09＿寛解・院内寛解[#All],MATCH($AK27,年齢階層×在院期間区分F02F09＿寛解・院内寛解[[#All],[行ラベル]],0),MATCH($AP$4,年齢階層×在院期間区分F02F09＿寛解・院内寛解[#Headers],0)),0)+IFERROR(INDEX(年齢階層×在院期間区分F02F09＿寛解・院内寛解[#All],MATCH($AK27,年齢階層×在院期間区分F02F09＿寛解・院内寛解[[#All],[行ラベル]],0),MATCH($AQ$4,年齢階層×在院期間区分F02F09＿寛解・院内寛解[#Headers],0)),0)+IFERROR(INDEX(年齢階層×在院期間区分F02F09＿寛解・院内寛解[#All],MATCH($AK27,年齢階層×在院期間区分F02F09＿寛解・院内寛解[[#All],[行ラベル]],0),MATCH($AR$4,年齢階層×在院期間区分F02F09＿寛解・院内寛解[#Headers],0)),0)+IFERROR(INDEX(年齢階層×在院期間区分F02F09＿寛解・院内寛解[#All],MATCH($AK27,年齢階層×在院期間区分F02F09＿寛解・院内寛解[[#All],[行ラベル]],0),MATCH($AS$4,年齢階層×在院期間区分F02F09＿寛解・院内寛解[#Headers],0)),0)+IFERROR(INDEX(年齢階層×在院期間区分F02F09＿寛解・院内寛解[#All],MATCH($AK27,年齢階層×在院期間区分F02F09＿寛解・院内寛解[[#All],[行ラベル]],0),MATCH($AT$4,年齢階層×在院期間区分F02F09＿寛解・院内寛解[#Headers],0)),0)</f>
        <v>6</v>
      </c>
      <c r="F27" s="209">
        <f t="shared" si="7"/>
        <v>0.1276595744680851</v>
      </c>
      <c r="G27" s="231">
        <f>IFERROR(INDEX(年齢階層×在院期間区分F02F09＿寛解・院内寛解[#All],MATCH($AK27,年齢階層×在院期間区分F02F09＿寛解・院内寛解[[#All],[行ラベル]],0),MATCH($AU$4,年齢階層×在院期間区分F02F09＿寛解・院内寛解[#Headers],0)),0)+IFERROR(INDEX(年齢階層×在院期間区分F02F09＿寛解・院内寛解[#All],MATCH($AK27,年齢階層×在院期間区分F02F09＿寛解・院内寛解[[#All],[行ラベル]],0),MATCH($AV$4,年齢階層×在院期間区分F02F09＿寛解・院内寛解[#Headers],0)),0)+IFERROR(INDEX(年齢階層×在院期間区分F02F09＿寛解・院内寛解[#All],MATCH($AK27,年齢階層×在院期間区分F02F09＿寛解・院内寛解[[#All],[行ラベル]],0),MATCH($AW$4,年齢階層×在院期間区分F02F09＿寛解・院内寛解[#Headers],0)),0)+IFERROR(INDEX(年齢階層×在院期間区分F02F09＿寛解・院内寛解[#All],MATCH($AK27,年齢階層×在院期間区分F02F09＿寛解・院内寛解[[#All],[行ラベル]],0),MATCH($AX$4,年齢階層×在院期間区分F02F09＿寛解・院内寛解[#Headers],0)),0)+IFERROR(INDEX(年齢階層×在院期間区分F02F09＿寛解・院内寛解[#All],MATCH($AK27,年齢階層×在院期間区分F02F09＿寛解・院内寛解[[#All],[行ラベル]],0),MATCH($AY$4,年齢階層×在院期間区分F02F09＿寛解・院内寛解[#Headers],0)),0)</f>
        <v>2</v>
      </c>
      <c r="H27" s="209">
        <f t="shared" si="8"/>
        <v>0.33333333333333331</v>
      </c>
      <c r="I27" s="208">
        <f>IFERROR(INDEX(年齢階層×在院期間区分F02F09＿寛解・院内寛解[#All],MATCH($AK27,年齢階層×在院期間区分F02F09＿寛解・院内寛解[[#All],[行ラベル]],0),MATCH($AZ$4,年齢階層×在院期間区分F02F09＿寛解・院内寛解[#Headers],0)),0)+IFERROR(INDEX(年齢階層×在院期間区分F02F09＿寛解・院内寛解[#All],MATCH($AK27,年齢階層×在院期間区分F02F09＿寛解・院内寛解[[#All],[行ラベル]],0),MATCH($BA$4,年齢階層×在院期間区分F02F09＿寛解・院内寛解[#Headers],0)),0)</f>
        <v>1</v>
      </c>
      <c r="J27" s="209">
        <f t="shared" si="9"/>
        <v>0.33333333333333331</v>
      </c>
      <c r="K27" s="208">
        <f t="shared" si="10"/>
        <v>23</v>
      </c>
      <c r="L27" s="209">
        <f t="shared" si="11"/>
        <v>0.14743589743589744</v>
      </c>
      <c r="O27" s="54" t="s">
        <v>9</v>
      </c>
      <c r="P27" s="66">
        <v>14</v>
      </c>
      <c r="Q27" s="66">
        <v>7</v>
      </c>
      <c r="R27" s="66">
        <v>12</v>
      </c>
      <c r="S27" s="66">
        <v>8</v>
      </c>
      <c r="T27" s="66">
        <v>7</v>
      </c>
      <c r="U27" s="66">
        <v>4</v>
      </c>
      <c r="V27" s="66">
        <v>2</v>
      </c>
      <c r="W27" s="66">
        <v>3</v>
      </c>
      <c r="X27" s="66">
        <v>1</v>
      </c>
      <c r="Y27" s="66">
        <v>2</v>
      </c>
      <c r="Z27" s="66">
        <v>1</v>
      </c>
      <c r="AA27" s="66"/>
      <c r="AB27" s="66"/>
      <c r="AC27" s="66"/>
      <c r="AD27" s="66"/>
      <c r="AE27" s="66"/>
      <c r="AK27" s="54" t="s">
        <v>7</v>
      </c>
    </row>
    <row r="28" spans="2:41" s="22" customFormat="1" ht="18.75" customHeight="1" x14ac:dyDescent="0.15">
      <c r="B28" s="230" t="s">
        <v>8</v>
      </c>
      <c r="C28" s="208">
        <f>IFERROR(INDEX(年齢階層×在院期間区分F02F09＿寛解・院内寛解[#All],MATCH($AK28,年齢階層×在院期間区分F02F09＿寛解・院内寛解[[#All],[行ラベル]],0),MATCH($AL$4,年齢階層×在院期間区分F02F09＿寛解・院内寛解[#Headers],0)),0)+IFERROR(INDEX(年齢階層×在院期間区分F02F09＿寛解・院内寛解[#All],MATCH($AK28,年齢階層×在院期間区分F02F09＿寛解・院内寛解[[#All],[行ラベル]],0),MATCH($AM$4,年齢階層×在院期間区分F02F09＿寛解・院内寛解[#Headers],0)),0)+IFERROR(INDEX(年齢階層×在院期間区分F02F09＿寛解・院内寛解[#All],MATCH($AK28,年齢階層×在院期間区分F02F09＿寛解・院内寛解[[#All],[行ラベル]],0),MATCH($AN$4,年齢階層×在院期間区分F02F09＿寛解・院内寛解[#Headers],0)),0)+IFERROR(INDEX(年齢階層×在院期間区分F02F09＿寛解・院内寛解[#All],MATCH($AK28,年齢階層×在院期間区分F02F09＿寛解・院内寛解[[#All],[行ラベル]],0),MATCH($AO$4,年齢階層×在院期間区分F02F09＿寛解・院内寛解[#Headers],0)),0)</f>
        <v>29</v>
      </c>
      <c r="D28" s="209">
        <f t="shared" si="6"/>
        <v>0.28999999999999998</v>
      </c>
      <c r="E28" s="208">
        <f>IFERROR(INDEX(年齢階層×在院期間区分F02F09＿寛解・院内寛解[#All],MATCH($AK28,年齢階層×在院期間区分F02F09＿寛解・院内寛解[[#All],[行ラベル]],0),MATCH($AP$4,年齢階層×在院期間区分F02F09＿寛解・院内寛解[#Headers],0)),0)+IFERROR(INDEX(年齢階層×在院期間区分F02F09＿寛解・院内寛解[#All],MATCH($AK28,年齢階層×在院期間区分F02F09＿寛解・院内寛解[[#All],[行ラベル]],0),MATCH($AQ$4,年齢階層×在院期間区分F02F09＿寛解・院内寛解[#Headers],0)),0)+IFERROR(INDEX(年齢階層×在院期間区分F02F09＿寛解・院内寛解[#All],MATCH($AK28,年齢階層×在院期間区分F02F09＿寛解・院内寛解[[#All],[行ラベル]],0),MATCH($AR$4,年齢階層×在院期間区分F02F09＿寛解・院内寛解[#Headers],0)),0)+IFERROR(INDEX(年齢階層×在院期間区分F02F09＿寛解・院内寛解[#All],MATCH($AK28,年齢階層×在院期間区分F02F09＿寛解・院内寛解[[#All],[行ラベル]],0),MATCH($AS$4,年齢階層×在院期間区分F02F09＿寛解・院内寛解[#Headers],0)),0)+IFERROR(INDEX(年齢階層×在院期間区分F02F09＿寛解・院内寛解[#All],MATCH($AK28,年齢階層×在院期間区分F02F09＿寛解・院内寛解[[#All],[行ラベル]],0),MATCH($AT$4,年齢階層×在院期間区分F02F09＿寛解・院内寛解[#Headers],0)),0)</f>
        <v>14</v>
      </c>
      <c r="F28" s="209">
        <f t="shared" si="7"/>
        <v>0.2978723404255319</v>
      </c>
      <c r="G28" s="231">
        <f>IFERROR(INDEX(年齢階層×在院期間区分F02F09＿寛解・院内寛解[#All],MATCH($AK28,年齢階層×在院期間区分F02F09＿寛解・院内寛解[[#All],[行ラベル]],0),MATCH($AU$4,年齢階層×在院期間区分F02F09＿寛解・院内寛解[#Headers],0)),0)+IFERROR(INDEX(年齢階層×在院期間区分F02F09＿寛解・院内寛解[#All],MATCH($AK28,年齢階層×在院期間区分F02F09＿寛解・院内寛解[[#All],[行ラベル]],0),MATCH($AV$4,年齢階層×在院期間区分F02F09＿寛解・院内寛解[#Headers],0)),0)+IFERROR(INDEX(年齢階層×在院期間区分F02F09＿寛解・院内寛解[#All],MATCH($AK28,年齢階層×在院期間区分F02F09＿寛解・院内寛解[[#All],[行ラベル]],0),MATCH($AW$4,年齢階層×在院期間区分F02F09＿寛解・院内寛解[#Headers],0)),0)+IFERROR(INDEX(年齢階層×在院期間区分F02F09＿寛解・院内寛解[#All],MATCH($AK28,年齢階層×在院期間区分F02F09＿寛解・院内寛解[[#All],[行ラベル]],0),MATCH($AX$4,年齢階層×在院期間区分F02F09＿寛解・院内寛解[#Headers],0)),0)+IFERROR(INDEX(年齢階層×在院期間区分F02F09＿寛解・院内寛解[#All],MATCH($AK28,年齢階層×在院期間区分F02F09＿寛解・院内寛解[[#All],[行ラベル]],0),MATCH($AY$4,年齢階層×在院期間区分F02F09＿寛解・院内寛解[#Headers],0)),0)</f>
        <v>0</v>
      </c>
      <c r="H28" s="209">
        <f t="shared" si="8"/>
        <v>0</v>
      </c>
      <c r="I28" s="208">
        <f>IFERROR(INDEX(年齢階層×在院期間区分F02F09＿寛解・院内寛解[#All],MATCH($AK28,年齢階層×在院期間区分F02F09＿寛解・院内寛解[[#All],[行ラベル]],0),MATCH($AZ$4,年齢階層×在院期間区分F02F09＿寛解・院内寛解[#Headers],0)),0)+IFERROR(INDEX(年齢階層×在院期間区分F02F09＿寛解・院内寛解[#All],MATCH($AK28,年齢階層×在院期間区分F02F09＿寛解・院内寛解[[#All],[行ラベル]],0),MATCH($BA$4,年齢階層×在院期間区分F02F09＿寛解・院内寛解[#Headers],0)),0)</f>
        <v>2</v>
      </c>
      <c r="J28" s="209">
        <f t="shared" si="9"/>
        <v>0.66666666666666663</v>
      </c>
      <c r="K28" s="208">
        <f t="shared" si="10"/>
        <v>45</v>
      </c>
      <c r="L28" s="209">
        <f t="shared" si="11"/>
        <v>0.28846153846153844</v>
      </c>
      <c r="O28" s="54" t="s">
        <v>10</v>
      </c>
      <c r="P28" s="66">
        <v>4</v>
      </c>
      <c r="Q28" s="66">
        <v>1</v>
      </c>
      <c r="R28" s="66"/>
      <c r="S28" s="66">
        <v>1</v>
      </c>
      <c r="T28" s="66">
        <v>2</v>
      </c>
      <c r="U28" s="66">
        <v>2</v>
      </c>
      <c r="V28" s="66">
        <v>1</v>
      </c>
      <c r="W28" s="66"/>
      <c r="X28" s="66">
        <v>1</v>
      </c>
      <c r="Y28" s="66"/>
      <c r="Z28" s="66"/>
      <c r="AA28" s="66"/>
      <c r="AB28" s="66"/>
      <c r="AC28" s="66"/>
      <c r="AD28" s="66"/>
      <c r="AE28" s="66"/>
      <c r="AK28" s="54" t="s">
        <v>8</v>
      </c>
    </row>
    <row r="29" spans="2:41" s="22" customFormat="1" ht="18.75" customHeight="1" x14ac:dyDescent="0.15">
      <c r="B29" s="230" t="s">
        <v>9</v>
      </c>
      <c r="C29" s="232">
        <f>IFERROR(INDEX(年齢階層×在院期間区分F02F09＿寛解・院内寛解[#All],MATCH($AK29,年齢階層×在院期間区分F02F09＿寛解・院内寛解[[#All],[行ラベル]],0),MATCH($AL$4,年齢階層×在院期間区分F02F09＿寛解・院内寛解[#Headers],0)),0)+IFERROR(INDEX(年齢階層×在院期間区分F02F09＿寛解・院内寛解[#All],MATCH($AK29,年齢階層×在院期間区分F02F09＿寛解・院内寛解[[#All],[行ラベル]],0),MATCH($AM$4,年齢階層×在院期間区分F02F09＿寛解・院内寛解[#Headers],0)),0)+IFERROR(INDEX(年齢階層×在院期間区分F02F09＿寛解・院内寛解[#All],MATCH($AK29,年齢階層×在院期間区分F02F09＿寛解・院内寛解[[#All],[行ラベル]],0),MATCH($AN$4,年齢階層×在院期間区分F02F09＿寛解・院内寛解[#Headers],0)),0)+IFERROR(INDEX(年齢階層×在院期間区分F02F09＿寛解・院内寛解[#All],MATCH($AK29,年齢階層×在院期間区分F02F09＿寛解・院内寛解[[#All],[行ラベル]],0),MATCH($AO$4,年齢階層×在院期間区分F02F09＿寛解・院内寛解[#Headers],0)),0)</f>
        <v>41</v>
      </c>
      <c r="D29" s="209">
        <f t="shared" si="6"/>
        <v>0.41</v>
      </c>
      <c r="E29" s="232">
        <f>IFERROR(INDEX(年齢階層×在院期間区分F02F09＿寛解・院内寛解[#All],MATCH($AK29,年齢階層×在院期間区分F02F09＿寛解・院内寛解[[#All],[行ラベル]],0),MATCH($AP$4,年齢階層×在院期間区分F02F09＿寛解・院内寛解[#Headers],0)),0)+IFERROR(INDEX(年齢階層×在院期間区分F02F09＿寛解・院内寛解[#All],MATCH($AK29,年齢階層×在院期間区分F02F09＿寛解・院内寛解[[#All],[行ラベル]],0),MATCH($AQ$4,年齢階層×在院期間区分F02F09＿寛解・院内寛解[#Headers],0)),0)+IFERROR(INDEX(年齢階層×在院期間区分F02F09＿寛解・院内寛解[#All],MATCH($AK29,年齢階層×在院期間区分F02F09＿寛解・院内寛解[[#All],[行ラベル]],0),MATCH($AR$4,年齢階層×在院期間区分F02F09＿寛解・院内寛解[#Headers],0)),0)+IFERROR(INDEX(年齢階層×在院期間区分F02F09＿寛解・院内寛解[#All],MATCH($AK29,年齢階層×在院期間区分F02F09＿寛解・院内寛解[[#All],[行ラベル]],0),MATCH($AS$4,年齢階層×在院期間区分F02F09＿寛解・院内寛解[#Headers],0)),0)+IFERROR(INDEX(年齢階層×在院期間区分F02F09＿寛解・院内寛解[#All],MATCH($AK29,年齢階層×在院期間区分F02F09＿寛解・院内寛解[[#All],[行ラベル]],0),MATCH($AT$4,年齢階層×在院期間区分F02F09＿寛解・院内寛解[#Headers],0)),0)</f>
        <v>17</v>
      </c>
      <c r="F29" s="209">
        <f t="shared" si="7"/>
        <v>0.36170212765957449</v>
      </c>
      <c r="G29" s="208">
        <f>IFERROR(INDEX(年齢階層×在院期間区分F02F09＿寛解・院内寛解[#All],MATCH($AK29,年齢階層×在院期間区分F02F09＿寛解・院内寛解[[#All],[行ラベル]],0),MATCH($AU$4,年齢階層×在院期間区分F02F09＿寛解・院内寛解[#Headers],0)),0)+IFERROR(INDEX(年齢階層×在院期間区分F02F09＿寛解・院内寛解[#All],MATCH($AK29,年齢階層×在院期間区分F02F09＿寛解・院内寛解[[#All],[行ラベル]],0),MATCH($AV$4,年齢階層×在院期間区分F02F09＿寛解・院内寛解[#Headers],0)),0)+IFERROR(INDEX(年齢階層×在院期間区分F02F09＿寛解・院内寛解[#All],MATCH($AK29,年齢階層×在院期間区分F02F09＿寛解・院内寛解[[#All],[行ラベル]],0),MATCH($AW$4,年齢階層×在院期間区分F02F09＿寛解・院内寛解[#Headers],0)),0)+IFERROR(INDEX(年齢階層×在院期間区分F02F09＿寛解・院内寛解[#All],MATCH($AK29,年齢階層×在院期間区分F02F09＿寛解・院内寛解[[#All],[行ラベル]],0),MATCH($AX$4,年齢階層×在院期間区分F02F09＿寛解・院内寛解[#Headers],0)),0)+IFERROR(INDEX(年齢階層×在院期間区分F02F09＿寛解・院内寛解[#All],MATCH($AK29,年齢階層×在院期間区分F02F09＿寛解・院内寛解[[#All],[行ラベル]],0),MATCH($AY$4,年齢階層×在院期間区分F02F09＿寛解・院内寛解[#Headers],0)),0)</f>
        <v>3</v>
      </c>
      <c r="H29" s="209">
        <f t="shared" si="8"/>
        <v>0.5</v>
      </c>
      <c r="I29" s="208">
        <f>IFERROR(INDEX(年齢階層×在院期間区分F02F09＿寛解・院内寛解[#All],MATCH($AK29,年齢階層×在院期間区分F02F09＿寛解・院内寛解[[#All],[行ラベル]],0),MATCH($AZ$4,年齢階層×在院期間区分F02F09＿寛解・院内寛解[#Headers],0)),0)+IFERROR(INDEX(年齢階層×在院期間区分F02F09＿寛解・院内寛解[#All],MATCH($AK29,年齢階層×在院期間区分F02F09＿寛解・院内寛解[[#All],[行ラベル]],0),MATCH($BA$4,年齢階層×在院期間区分F02F09＿寛解・院内寛解[#Headers],0)),0)</f>
        <v>0</v>
      </c>
      <c r="J29" s="209">
        <f t="shared" si="9"/>
        <v>0</v>
      </c>
      <c r="K29" s="208">
        <f t="shared" si="10"/>
        <v>61</v>
      </c>
      <c r="L29" s="209">
        <f t="shared" si="11"/>
        <v>0.39102564102564102</v>
      </c>
      <c r="O29" s="54"/>
      <c r="P29" s="66"/>
      <c r="Q29" s="66"/>
      <c r="R29" s="66"/>
      <c r="S29" s="66"/>
      <c r="T29" s="66"/>
      <c r="U29" s="66"/>
      <c r="V29" s="66"/>
      <c r="W29" s="66"/>
      <c r="X29" s="66"/>
      <c r="Y29" s="66"/>
      <c r="Z29" s="66"/>
      <c r="AA29" s="66"/>
      <c r="AB29" s="66"/>
      <c r="AC29" s="66"/>
      <c r="AD29" s="66"/>
      <c r="AE29" s="66"/>
      <c r="AK29" s="54" t="s">
        <v>9</v>
      </c>
    </row>
    <row r="30" spans="2:41" s="22" customFormat="1" ht="18.75" customHeight="1" thickBot="1" x14ac:dyDescent="0.2">
      <c r="B30" s="233" t="s">
        <v>10</v>
      </c>
      <c r="C30" s="211">
        <f>IFERROR(INDEX(年齢階層×在院期間区分F02F09＿寛解・院内寛解[#All],MATCH($AK30,年齢階層×在院期間区分F02F09＿寛解・院内寛解[[#All],[行ラベル]],0),MATCH($AL$4,年齢階層×在院期間区分F02F09＿寛解・院内寛解[#Headers],0)),0)+IFERROR(INDEX(年齢階層×在院期間区分F02F09＿寛解・院内寛解[#All],MATCH($AK30,年齢階層×在院期間区分F02F09＿寛解・院内寛解[[#All],[行ラベル]],0),MATCH($AM$4,年齢階層×在院期間区分F02F09＿寛解・院内寛解[#Headers],0)),0)+IFERROR(INDEX(年齢階層×在院期間区分F02F09＿寛解・院内寛解[#All],MATCH($AK30,年齢階層×在院期間区分F02F09＿寛解・院内寛解[[#All],[行ラベル]],0),MATCH($AN$4,年齢階層×在院期間区分F02F09＿寛解・院内寛解[#Headers],0)),0)+IFERROR(INDEX(年齢階層×在院期間区分F02F09＿寛解・院内寛解[#All],MATCH($AK30,年齢階層×在院期間区分F02F09＿寛解・院内寛解[[#All],[行ラベル]],0),MATCH($AO$4,年齢階層×在院期間区分F02F09＿寛解・院内寛解[#Headers],0)),0)</f>
        <v>6</v>
      </c>
      <c r="D30" s="213">
        <f t="shared" si="6"/>
        <v>0.06</v>
      </c>
      <c r="E30" s="211">
        <f>IFERROR(INDEX(年齢階層×在院期間区分F02F09＿寛解・院内寛解[#All],MATCH($AK30,年齢階層×在院期間区分F02F09＿寛解・院内寛解[[#All],[行ラベル]],0),MATCH($AP$4,年齢階層×在院期間区分F02F09＿寛解・院内寛解[#Headers],0)),0)+IFERROR(INDEX(年齢階層×在院期間区分F02F09＿寛解・院内寛解[#All],MATCH($AK30,年齢階層×在院期間区分F02F09＿寛解・院内寛解[[#All],[行ラベル]],0),MATCH($AQ$4,年齢階層×在院期間区分F02F09＿寛解・院内寛解[#Headers],0)),0)+IFERROR(INDEX(年齢階層×在院期間区分F02F09＿寛解・院内寛解[#All],MATCH($AK30,年齢階層×在院期間区分F02F09＿寛解・院内寛解[[#All],[行ラベル]],0),MATCH($AR$4,年齢階層×在院期間区分F02F09＿寛解・院内寛解[#Headers],0)),0)+IFERROR(INDEX(年齢階層×在院期間区分F02F09＿寛解・院内寛解[#All],MATCH($AK30,年齢階層×在院期間区分F02F09＿寛解・院内寛解[[#All],[行ラベル]],0),MATCH($AS$4,年齢階層×在院期間区分F02F09＿寛解・院内寛解[#Headers],0)),0)+IFERROR(INDEX(年齢階層×在院期間区分F02F09＿寛解・院内寛解[#All],MATCH($AK30,年齢階層×在院期間区分F02F09＿寛解・院内寛解[[#All],[行ラベル]],0),MATCH($AT$4,年齢階層×在院期間区分F02F09＿寛解・院内寛解[#Headers],0)),0)</f>
        <v>6</v>
      </c>
      <c r="F30" s="225">
        <f t="shared" si="7"/>
        <v>0.1276595744680851</v>
      </c>
      <c r="G30" s="234">
        <f>IFERROR(INDEX(年齢階層×在院期間区分F02F09＿寛解・院内寛解[#All],MATCH($AK30,年齢階層×在院期間区分F02F09＿寛解・院内寛解[[#All],[行ラベル]],0),MATCH($AU$4,年齢階層×在院期間区分F02F09＿寛解・院内寛解[#Headers],0)),0)+IFERROR(INDEX(年齢階層×在院期間区分F02F09＿寛解・院内寛解[#All],MATCH($AK30,年齢階層×在院期間区分F02F09＿寛解・院内寛解[[#All],[行ラベル]],0),MATCH($AV$4,年齢階層×在院期間区分F02F09＿寛解・院内寛解[#Headers],0)),0)+IFERROR(INDEX(年齢階層×在院期間区分F02F09＿寛解・院内寛解[#All],MATCH($AK30,年齢階層×在院期間区分F02F09＿寛解・院内寛解[[#All],[行ラベル]],0),MATCH($AW$4,年齢階層×在院期間区分F02F09＿寛解・院内寛解[#Headers],0)),0)+IFERROR(INDEX(年齢階層×在院期間区分F02F09＿寛解・院内寛解[#All],MATCH($AK30,年齢階層×在院期間区分F02F09＿寛解・院内寛解[[#All],[行ラベル]],0),MATCH($AX$4,年齢階層×在院期間区分F02F09＿寛解・院内寛解[#Headers],0)),0)+IFERROR(INDEX(年齢階層×在院期間区分F02F09＿寛解・院内寛解[#All],MATCH($AK30,年齢階層×在院期間区分F02F09＿寛解・院内寛解[[#All],[行ラベル]],0),MATCH($AY$4,年齢階層×在院期間区分F02F09＿寛解・院内寛解[#Headers],0)),0)</f>
        <v>0</v>
      </c>
      <c r="H30" s="225">
        <f t="shared" si="8"/>
        <v>0</v>
      </c>
      <c r="I30" s="234">
        <f>IFERROR(INDEX(年齢階層×在院期間区分F02F09＿寛解・院内寛解[#All],MATCH($AK30,年齢階層×在院期間区分F02F09＿寛解・院内寛解[[#All],[行ラベル]],0),MATCH($AZ$4,年齢階層×在院期間区分F02F09＿寛解・院内寛解[#Headers],0)),0)+IFERROR(INDEX(年齢階層×在院期間区分F02F09＿寛解・院内寛解[#All],MATCH($AK30,年齢階層×在院期間区分F02F09＿寛解・院内寛解[[#All],[行ラベル]],0),MATCH($BA$4,年齢階層×在院期間区分F02F09＿寛解・院内寛解[#Headers],0)),0)</f>
        <v>0</v>
      </c>
      <c r="J30" s="225">
        <f t="shared" si="9"/>
        <v>0</v>
      </c>
      <c r="K30" s="211">
        <f t="shared" si="10"/>
        <v>12</v>
      </c>
      <c r="L30" s="213">
        <f t="shared" si="11"/>
        <v>7.6923076923076927E-2</v>
      </c>
      <c r="M30" s="78"/>
      <c r="O30" s="54"/>
      <c r="P30" s="66"/>
      <c r="Q30" s="66"/>
      <c r="R30" s="66"/>
      <c r="S30" s="66"/>
      <c r="T30" s="66"/>
      <c r="U30" s="66"/>
      <c r="V30" s="66"/>
      <c r="W30" s="66"/>
      <c r="X30" s="66"/>
      <c r="Y30" s="66"/>
      <c r="Z30" s="66"/>
      <c r="AA30" s="66"/>
      <c r="AB30" s="66"/>
      <c r="AC30" s="66"/>
      <c r="AD30" s="66"/>
      <c r="AE30" s="66"/>
      <c r="AK30" s="54" t="s">
        <v>10</v>
      </c>
    </row>
    <row r="31" spans="2:41" s="22" customFormat="1" ht="18.75" customHeight="1" thickTop="1" thickBot="1" x14ac:dyDescent="0.2">
      <c r="B31" s="235" t="s">
        <v>161</v>
      </c>
      <c r="C31" s="236">
        <f>SUM(C22:C30)</f>
        <v>100</v>
      </c>
      <c r="D31" s="245">
        <f t="shared" si="6"/>
        <v>1</v>
      </c>
      <c r="E31" s="236">
        <f>SUM(E22:E30)</f>
        <v>47</v>
      </c>
      <c r="F31" s="237">
        <f t="shared" si="7"/>
        <v>1</v>
      </c>
      <c r="G31" s="236">
        <f>SUM(G22:G30)</f>
        <v>6</v>
      </c>
      <c r="H31" s="246">
        <f t="shared" si="8"/>
        <v>1</v>
      </c>
      <c r="I31" s="236">
        <f>SUM(I22:I30)</f>
        <v>3</v>
      </c>
      <c r="J31" s="246">
        <f t="shared" si="9"/>
        <v>1</v>
      </c>
      <c r="K31" s="236">
        <f>SUM(K22:K30)</f>
        <v>156</v>
      </c>
      <c r="L31" s="243">
        <f t="shared" si="11"/>
        <v>1</v>
      </c>
      <c r="O31" s="429" t="s">
        <v>308</v>
      </c>
      <c r="P31" s="503" t="s">
        <v>182</v>
      </c>
      <c r="Q31" s="503" t="s">
        <v>183</v>
      </c>
      <c r="R31" s="503" t="s">
        <v>184</v>
      </c>
      <c r="S31" s="503" t="s">
        <v>185</v>
      </c>
      <c r="T31" s="503" t="s">
        <v>186</v>
      </c>
      <c r="U31" s="503" t="s">
        <v>187</v>
      </c>
      <c r="V31" s="503" t="s">
        <v>188</v>
      </c>
      <c r="W31" s="503" t="s">
        <v>189</v>
      </c>
      <c r="X31" s="503" t="s">
        <v>190</v>
      </c>
      <c r="Y31" s="503" t="s">
        <v>192</v>
      </c>
      <c r="Z31" s="503" t="s">
        <v>193</v>
      </c>
      <c r="AA31" s="503" t="s">
        <v>194</v>
      </c>
      <c r="AB31" s="503" t="s">
        <v>195</v>
      </c>
      <c r="AC31" s="503" t="s">
        <v>196</v>
      </c>
      <c r="AD31" s="503" t="s">
        <v>365</v>
      </c>
      <c r="AE31" s="56" t="s">
        <v>368</v>
      </c>
      <c r="AO31" s="59"/>
    </row>
    <row r="32" spans="2:41" s="22" customFormat="1" ht="18.75" customHeight="1" thickTop="1" x14ac:dyDescent="0.15">
      <c r="B32" s="238" t="s">
        <v>93</v>
      </c>
      <c r="C32" s="239">
        <f>IFERROR(INDEX(年齢階層×在院期間区分F02F09_65歳未満以上＿寛解・院内寛解[#All],MATCH($AK32,年齢階層×在院期間区分F02F09_65歳未満以上＿寛解・院内寛解[[#All],[列1]],0),MATCH($AL$4,年齢階層×在院期間区分F02F09_65歳未満以上＿寛解・院内寛解[#Headers],0)),0)+IFERROR(INDEX(年齢階層×在院期間区分F02F09_65歳未満以上＿寛解・院内寛解[#All],MATCH($AK32,年齢階層×在院期間区分F02F09_65歳未満以上＿寛解・院内寛解[[#All],[列1]],0),MATCH($AM$4,年齢階層×在院期間区分F02F09_65歳未満以上＿寛解・院内寛解[#Headers],0)),0)+IFERROR(INDEX(年齢階層×在院期間区分F02F09_65歳未満以上＿寛解・院内寛解[#All],MATCH($AK32,年齢階層×在院期間区分F02F09_65歳未満以上＿寛解・院内寛解[[#All],[列1]],0),MATCH($AN$4,年齢階層×在院期間区分F02F09_65歳未満以上＿寛解・院内寛解[#Headers],0)),0)+IFERROR(INDEX(年齢階層×在院期間区分F02F09_65歳未満以上＿寛解・院内寛解[#All],MATCH($AK32,年齢階層×在院期間区分F02F09_65歳未満以上＿寛解・院内寛解[[#All],[列1]],0),MATCH($AO$4,年齢階層×在院期間区分F02F09_65歳未満以上＿寛解・院内寛解[#Headers],0)),0)</f>
        <v>17</v>
      </c>
      <c r="D32" s="210">
        <f t="shared" si="6"/>
        <v>0.17</v>
      </c>
      <c r="E32" s="239">
        <f>IFERROR(INDEX(年齢階層×在院期間区分F02F09_65歳未満以上＿寛解・院内寛解[#All],MATCH($AK32,年齢階層×在院期間区分F02F09_65歳未満以上＿寛解・院内寛解[[#All],[列1]],0),MATCH($AP$4,年齢階層×在院期間区分F02F09_65歳未満以上＿寛解・院内寛解[#Headers],0)),0)+IFERROR(INDEX(年齢階層×在院期間区分F02F09_65歳未満以上＿寛解・院内寛解[#All],MATCH($AK32,年齢階層×在院期間区分F02F09_65歳未満以上＿寛解・院内寛解[[#All],[列1]],0),MATCH($AQ$4,年齢階層×在院期間区分F02F09_65歳未満以上＿寛解・院内寛解[#Headers],0)),0)+IFERROR(INDEX(年齢階層×在院期間区分F02F09_65歳未満以上＿寛解・院内寛解[#All],MATCH($AK32,年齢階層×在院期間区分F02F09_65歳未満以上＿寛解・院内寛解[[#All],[列1]],0),MATCH($AR$4,年齢階層×在院期間区分F02F09_65歳未満以上＿寛解・院内寛解[#Headers],0)),0)+IFERROR(INDEX(年齢階層×在院期間区分F02F09_65歳未満以上＿寛解・院内寛解[#All],MATCH($AK32,年齢階層×在院期間区分F02F09_65歳未満以上＿寛解・院内寛解[[#All],[列1]],0),MATCH($AS$4,年齢階層×在院期間区分F02F09_65歳未満以上＿寛解・院内寛解[#Headers],0)),0)+IFERROR(INDEX(年齢階層×在院期間区分F02F09_65歳未満以上＿寛解・院内寛解[#All],MATCH($AK32,年齢階層×在院期間区分F02F09_65歳未満以上＿寛解・院内寛解[[#All],[列1]],0),MATCH($AT$4,年齢階層×在院期間区分F02F09_65歳未満以上＿寛解・院内寛解[#Headers],0)),0)</f>
        <v>6</v>
      </c>
      <c r="F32" s="241">
        <f t="shared" si="7"/>
        <v>0.1276595744680851</v>
      </c>
      <c r="G32" s="239">
        <f>IFERROR(INDEX(年齢階層×在院期間区分F02F09_65歳未満以上＿寛解・院内寛解[#All],MATCH($AK32,年齢階層×在院期間区分F02F09_65歳未満以上＿寛解・院内寛解[[#All],[列1]],0),MATCH($AU$4,年齢階層×在院期間区分F02F09_65歳未満以上＿寛解・院内寛解[#Headers],0)),0)+IFERROR(INDEX(年齢階層×在院期間区分F02F09_65歳未満以上＿寛解・院内寛解[#All],MATCH($AK32,年齢階層×在院期間区分F02F09_65歳未満以上＿寛解・院内寛解[[#All],[列1]],0),MATCH($AV$4,年齢階層×在院期間区分F02F09_65歳未満以上＿寛解・院内寛解[#Headers],0)),0)+IFERROR(INDEX(年齢階層×在院期間区分F02F09_65歳未満以上＿寛解・院内寛解[#All],MATCH($AK32,年齢階層×在院期間区分F02F09_65歳未満以上＿寛解・院内寛解[[#All],[列1]],0),MATCH($AW$4,年齢階層×在院期間区分F02F09_65歳未満以上＿寛解・院内寛解[#Headers],0)),0)+IFERROR(INDEX(年齢階層×在院期間区分F02F09_65歳未満以上＿寛解・院内寛解[#All],MATCH($AK32,年齢階層×在院期間区分F02F09_65歳未満以上＿寛解・院内寛解[[#All],[列1]],0),MATCH($AX$4,年齢階層×在院期間区分F02F09_65歳未満以上＿寛解・院内寛解[#Headers],0)),0)+IFERROR(INDEX(年齢階層×在院期間区分F02F09_65歳未満以上＿寛解・院内寛解[#All],MATCH($AK32,年齢階層×在院期間区分F02F09_65歳未満以上＿寛解・院内寛解[[#All],[列1]],0),MATCH($AY$4,年齢階層×在院期間区分F02F09_65歳未満以上＿寛解・院内寛解[#Headers],0)),0)</f>
        <v>2</v>
      </c>
      <c r="H32" s="241">
        <f t="shared" si="8"/>
        <v>0.33333333333333331</v>
      </c>
      <c r="I32" s="239">
        <f>IFERROR(INDEX(年齢階層×在院期間区分F02F09_65歳未満以上＿寛解・院内寛解[#All],MATCH($AK32,年齢階層×在院期間区分F02F09_65歳未満以上＿寛解・院内寛解[[#All],[列1]],0),MATCH($AZ$4,年齢階層×在院期間区分F02F09_65歳未満以上＿寛解・院内寛解[#Headers],0)),0)+IFERROR(INDEX(年齢階層×在院期間区分F02F09_65歳未満以上＿寛解・院内寛解[#All],MATCH($AK32,年齢階層×在院期間区分F02F09_65歳未満以上＿寛解・院内寛解[[#All],[列1]],0),MATCH($BA$4,年齢階層×在院期間区分F02F09_65歳未満以上＿寛解・院内寛解[#Headers],0)),0)</f>
        <v>0</v>
      </c>
      <c r="J32" s="224">
        <f t="shared" si="9"/>
        <v>0</v>
      </c>
      <c r="K32" s="239">
        <f>C32+E32+G32+I32</f>
        <v>25</v>
      </c>
      <c r="L32" s="224">
        <f t="shared" si="11"/>
        <v>0.16025641025641027</v>
      </c>
      <c r="O32" s="54" t="s">
        <v>307</v>
      </c>
      <c r="P32" s="66">
        <v>15</v>
      </c>
      <c r="Q32" s="66">
        <v>37</v>
      </c>
      <c r="R32" s="66">
        <v>19</v>
      </c>
      <c r="S32" s="66">
        <v>12</v>
      </c>
      <c r="T32" s="66">
        <v>14</v>
      </c>
      <c r="U32" s="66">
        <v>7</v>
      </c>
      <c r="V32" s="66">
        <v>10</v>
      </c>
      <c r="W32" s="66">
        <v>6</v>
      </c>
      <c r="X32" s="66">
        <v>4</v>
      </c>
      <c r="Y32" s="66">
        <v>2</v>
      </c>
      <c r="Z32" s="66">
        <v>2</v>
      </c>
      <c r="AA32" s="66">
        <v>0</v>
      </c>
      <c r="AB32" s="66">
        <v>0</v>
      </c>
      <c r="AC32" s="66">
        <v>3</v>
      </c>
      <c r="AD32" s="66"/>
      <c r="AE32" s="66"/>
      <c r="AF32" s="1"/>
      <c r="AG32" s="1"/>
      <c r="AK32" s="83" t="s">
        <v>156</v>
      </c>
    </row>
    <row r="33" spans="2:49" ht="18.75" customHeight="1" x14ac:dyDescent="0.15">
      <c r="B33" s="240" t="s">
        <v>89</v>
      </c>
      <c r="C33" s="239">
        <f>IFERROR(INDEX(年齢階層×在院期間区分F02F09_65歳未満以上＿寛解・院内寛解[#All],MATCH($AK33,年齢階層×在院期間区分F02F09_65歳未満以上＿寛解・院内寛解[[#All],[列1]],0),MATCH($AL$4,年齢階層×在院期間区分F02F09_65歳未満以上＿寛解・院内寛解[#Headers],0)),0)+IFERROR(INDEX(年齢階層×在院期間区分F02F09_65歳未満以上＿寛解・院内寛解[#All],MATCH($AK33,年齢階層×在院期間区分F02F09_65歳未満以上＿寛解・院内寛解[[#All],[列1]],0),MATCH($AM$4,年齢階層×在院期間区分F02F09_65歳未満以上＿寛解・院内寛解[#Headers],0)),0)+IFERROR(INDEX(年齢階層×在院期間区分F02F09_65歳未満以上＿寛解・院内寛解[#All],MATCH($AK33,年齢階層×在院期間区分F02F09_65歳未満以上＿寛解・院内寛解[[#All],[列1]],0),MATCH($AN$4,年齢階層×在院期間区分F02F09_65歳未満以上＿寛解・院内寛解[#Headers],0)),0)+IFERROR(INDEX(年齢階層×在院期間区分F02F09_65歳未満以上＿寛解・院内寛解[#All],MATCH($AK33,年齢階層×在院期間区分F02F09_65歳未満以上＿寛解・院内寛解[[#All],[列1]],0),MATCH($AO$4,年齢階層×在院期間区分F02F09_65歳未満以上＿寛解・院内寛解[#Headers],0)),0)</f>
        <v>83</v>
      </c>
      <c r="D33" s="241">
        <f t="shared" si="6"/>
        <v>0.83</v>
      </c>
      <c r="E33" s="239">
        <f>IFERROR(INDEX(年齢階層×在院期間区分F02F09_65歳未満以上＿寛解・院内寛解[#All],MATCH($AK33,年齢階層×在院期間区分F02F09_65歳未満以上＿寛解・院内寛解[[#All],[列1]],0),MATCH($AP$4,年齢階層×在院期間区分F02F09_65歳未満以上＿寛解・院内寛解[#Headers],0)),0)+IFERROR(INDEX(年齢階層×在院期間区分F02F09_65歳未満以上＿寛解・院内寛解[#All],MATCH($AK33,年齢階層×在院期間区分F02F09_65歳未満以上＿寛解・院内寛解[[#All],[列1]],0),MATCH($AQ$4,年齢階層×在院期間区分F02F09_65歳未満以上＿寛解・院内寛解[#Headers],0)),0)+IFERROR(INDEX(年齢階層×在院期間区分F02F09_65歳未満以上＿寛解・院内寛解[#All],MATCH($AK33,年齢階層×在院期間区分F02F09_65歳未満以上＿寛解・院内寛解[[#All],[列1]],0),MATCH($AR$4,年齢階層×在院期間区分F02F09_65歳未満以上＿寛解・院内寛解[#Headers],0)),0)+IFERROR(INDEX(年齢階層×在院期間区分F02F09_65歳未満以上＿寛解・院内寛解[#All],MATCH($AK33,年齢階層×在院期間区分F02F09_65歳未満以上＿寛解・院内寛解[[#All],[列1]],0),MATCH($AS$4,年齢階層×在院期間区分F02F09_65歳未満以上＿寛解・院内寛解[#Headers],0)),0)+IFERROR(INDEX(年齢階層×在院期間区分F02F09_65歳未満以上＿寛解・院内寛解[#All],MATCH($AK33,年齢階層×在院期間区分F02F09_65歳未満以上＿寛解・院内寛解[[#All],[列1]],0),MATCH($AT$4,年齢階層×在院期間区分F02F09_65歳未満以上＿寛解・院内寛解[#Headers],0)),0)</f>
        <v>41</v>
      </c>
      <c r="F33" s="241">
        <f t="shared" si="7"/>
        <v>0.87234042553191493</v>
      </c>
      <c r="G33" s="239">
        <f>IFERROR(INDEX(年齢階層×在院期間区分F02F09_65歳未満以上＿寛解・院内寛解[#All],MATCH($AK33,年齢階層×在院期間区分F02F09_65歳未満以上＿寛解・院内寛解[[#All],[列1]],0),MATCH($AU$4,年齢階層×在院期間区分F02F09_65歳未満以上＿寛解・院内寛解[#Headers],0)),0)+IFERROR(INDEX(年齢階層×在院期間区分F02F09_65歳未満以上＿寛解・院内寛解[#All],MATCH($AK33,年齢階層×在院期間区分F02F09_65歳未満以上＿寛解・院内寛解[[#All],[列1]],0),MATCH($AV$4,年齢階層×在院期間区分F02F09_65歳未満以上＿寛解・院内寛解[#Headers],0)),0)+IFERROR(INDEX(年齢階層×在院期間区分F02F09_65歳未満以上＿寛解・院内寛解[#All],MATCH($AK33,年齢階層×在院期間区分F02F09_65歳未満以上＿寛解・院内寛解[[#All],[列1]],0),MATCH($AW$4,年齢階層×在院期間区分F02F09_65歳未満以上＿寛解・院内寛解[#Headers],0)),0)+IFERROR(INDEX(年齢階層×在院期間区分F02F09_65歳未満以上＿寛解・院内寛解[#All],MATCH($AK33,年齢階層×在院期間区分F02F09_65歳未満以上＿寛解・院内寛解[[#All],[列1]],0),MATCH($AX$4,年齢階層×在院期間区分F02F09_65歳未満以上＿寛解・院内寛解[#Headers],0)),0)+IFERROR(INDEX(年齢階層×在院期間区分F02F09_65歳未満以上＿寛解・院内寛解[#All],MATCH($AK33,年齢階層×在院期間区分F02F09_65歳未満以上＿寛解・院内寛解[[#All],[列1]],0),MATCH($AY$4,年齢階層×在院期間区分F02F09_65歳未満以上＿寛解・院内寛解[#Headers],0)),0)</f>
        <v>4</v>
      </c>
      <c r="H33" s="241">
        <f t="shared" si="8"/>
        <v>0.66666666666666663</v>
      </c>
      <c r="I33" s="239">
        <f>IFERROR(INDEX(年齢階層×在院期間区分F02F09_65歳未満以上＿寛解・院内寛解[#All],MATCH($AK33,年齢階層×在院期間区分F02F09_65歳未満以上＿寛解・院内寛解[[#All],[列1]],0),MATCH($AZ$4,年齢階層×在院期間区分F02F09_65歳未満以上＿寛解・院内寛解[#Headers],0)),0)+IFERROR(INDEX(年齢階層×在院期間区分F02F09_65歳未満以上＿寛解・院内寛解[#All],MATCH($AK33,年齢階層×在院期間区分F02F09_65歳未満以上＿寛解・院内寛解[[#All],[列1]],0),MATCH($BA$4,年齢階層×在院期間区分F02F09_65歳未満以上＿寛解・院内寛解[#Headers],0)),0)</f>
        <v>3</v>
      </c>
      <c r="J33" s="241">
        <f t="shared" si="9"/>
        <v>1</v>
      </c>
      <c r="K33" s="239">
        <f>C33+E33+G33+I33</f>
        <v>131</v>
      </c>
      <c r="L33" s="241">
        <f t="shared" si="11"/>
        <v>0.83974358974358976</v>
      </c>
      <c r="O33" s="83" t="s">
        <v>306</v>
      </c>
      <c r="P33" s="66">
        <v>6</v>
      </c>
      <c r="Q33" s="66">
        <v>5</v>
      </c>
      <c r="R33" s="66">
        <v>4</v>
      </c>
      <c r="S33" s="66">
        <v>2</v>
      </c>
      <c r="T33" s="66">
        <v>1</v>
      </c>
      <c r="U33" s="66">
        <v>3</v>
      </c>
      <c r="V33" s="66">
        <v>0</v>
      </c>
      <c r="W33" s="66">
        <v>1</v>
      </c>
      <c r="X33" s="66">
        <v>1</v>
      </c>
      <c r="Y33" s="66">
        <v>0</v>
      </c>
      <c r="Z33" s="66">
        <v>0</v>
      </c>
      <c r="AA33" s="66">
        <v>1</v>
      </c>
      <c r="AB33" s="66">
        <v>1</v>
      </c>
      <c r="AC33" s="66">
        <v>0</v>
      </c>
      <c r="AD33" s="66"/>
      <c r="AE33" s="66"/>
      <c r="AG33" s="83"/>
      <c r="AK33" s="83" t="s">
        <v>88</v>
      </c>
    </row>
    <row r="35" spans="2:49" hidden="1" x14ac:dyDescent="0.15">
      <c r="C35" s="53"/>
      <c r="D35" s="62"/>
      <c r="E35" s="62"/>
      <c r="F35" s="62"/>
      <c r="G35" s="62"/>
      <c r="H35" s="62"/>
      <c r="I35" s="62"/>
      <c r="J35" s="62"/>
      <c r="K35" s="62"/>
      <c r="L35" s="62"/>
      <c r="M35" s="62"/>
      <c r="N35" s="62"/>
      <c r="O35" s="62"/>
      <c r="P35" s="62"/>
      <c r="Q35" s="62"/>
      <c r="R35" s="84"/>
    </row>
    <row r="36" spans="2:49" x14ac:dyDescent="0.15">
      <c r="B36" s="38"/>
      <c r="C36" s="23"/>
      <c r="D36" s="23"/>
      <c r="E36" s="23"/>
      <c r="F36" s="23"/>
      <c r="G36" s="23"/>
      <c r="H36" s="23"/>
      <c r="I36" s="23"/>
      <c r="J36" s="23"/>
      <c r="K36" s="23"/>
      <c r="L36" s="23"/>
      <c r="M36" s="23"/>
      <c r="N36" s="23"/>
      <c r="O36" s="23"/>
      <c r="P36" s="23"/>
      <c r="Q36" s="23"/>
      <c r="R36" s="23"/>
      <c r="S36" s="23"/>
      <c r="AG36" s="34"/>
    </row>
    <row r="37" spans="2:49" x14ac:dyDescent="0.15">
      <c r="B37" s="38"/>
      <c r="C37" s="23"/>
      <c r="D37" s="23"/>
      <c r="E37" s="23"/>
      <c r="F37" s="23"/>
      <c r="G37" s="23"/>
      <c r="H37" s="23"/>
      <c r="I37" s="23"/>
      <c r="J37" s="23"/>
      <c r="K37" s="23"/>
      <c r="L37" s="23"/>
      <c r="M37" s="23"/>
      <c r="N37" s="23"/>
      <c r="O37" s="23"/>
      <c r="P37" s="23"/>
      <c r="Q37" s="23"/>
      <c r="R37" s="23"/>
      <c r="S37" s="23"/>
      <c r="AG37" s="54"/>
    </row>
    <row r="38" spans="2:49" x14ac:dyDescent="0.15">
      <c r="B38" s="50"/>
      <c r="C38" s="85"/>
      <c r="D38" s="85"/>
      <c r="E38" s="85"/>
      <c r="F38" s="85"/>
      <c r="G38" s="85"/>
      <c r="H38" s="85"/>
      <c r="I38" s="85"/>
      <c r="J38" s="85"/>
      <c r="K38" s="85"/>
      <c r="L38" s="85"/>
      <c r="M38" s="85"/>
      <c r="N38" s="85"/>
      <c r="O38" s="85"/>
      <c r="P38" s="85"/>
      <c r="Q38" s="85"/>
      <c r="R38" s="85"/>
      <c r="S38" s="85"/>
      <c r="T38" s="22"/>
      <c r="U38" s="22"/>
      <c r="V38" s="22"/>
      <c r="W38" s="22"/>
      <c r="X38" s="22"/>
      <c r="Y38" s="22"/>
      <c r="Z38" s="22"/>
      <c r="AA38" s="22"/>
      <c r="AB38" s="22"/>
      <c r="AC38" s="22"/>
      <c r="AD38" s="22"/>
      <c r="AE38" s="22"/>
      <c r="AF38" s="22"/>
      <c r="AG38" s="54"/>
      <c r="AH38" s="22"/>
      <c r="AI38" s="22"/>
      <c r="AJ38" s="22"/>
      <c r="AK38" s="22"/>
      <c r="AL38" s="22"/>
      <c r="AM38" s="22"/>
      <c r="AN38" s="22"/>
      <c r="AO38" s="22"/>
      <c r="AP38" s="22"/>
      <c r="AQ38" s="22"/>
      <c r="AR38" s="22"/>
      <c r="AS38" s="22"/>
      <c r="AT38" s="22"/>
      <c r="AU38" s="22"/>
      <c r="AV38" s="22"/>
      <c r="AW38" s="22"/>
    </row>
    <row r="39" spans="2:49" ht="35.25" customHeight="1" x14ac:dyDescent="0.1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54"/>
      <c r="AH39" s="22"/>
      <c r="AI39" s="22"/>
      <c r="AJ39" s="22"/>
      <c r="AK39" s="22"/>
      <c r="AL39" s="22"/>
      <c r="AM39" s="22"/>
      <c r="AN39" s="22"/>
      <c r="AO39" s="22"/>
      <c r="AP39" s="22"/>
      <c r="AQ39" s="22"/>
      <c r="AR39" s="22"/>
      <c r="AS39" s="22"/>
      <c r="AT39" s="22"/>
      <c r="AU39" s="22"/>
      <c r="AV39" s="22"/>
      <c r="AW39" s="22"/>
    </row>
    <row r="40" spans="2:49" x14ac:dyDescent="0.15">
      <c r="B40" s="7"/>
      <c r="C40" s="86"/>
      <c r="D40" s="86"/>
      <c r="E40" s="86"/>
      <c r="F40" s="86"/>
      <c r="G40" s="86"/>
      <c r="H40" s="86"/>
      <c r="I40" s="86"/>
      <c r="J40" s="86"/>
      <c r="K40" s="86"/>
      <c r="L40" s="86"/>
      <c r="M40" s="86"/>
      <c r="N40" s="86"/>
      <c r="O40" s="86"/>
      <c r="P40" s="86"/>
      <c r="Q40" s="86"/>
      <c r="R40" s="86"/>
      <c r="S40" s="86"/>
      <c r="T40" s="22"/>
      <c r="U40" s="22"/>
      <c r="V40" s="22"/>
      <c r="W40" s="22"/>
      <c r="X40" s="22"/>
      <c r="Y40" s="22"/>
      <c r="Z40" s="22"/>
      <c r="AA40" s="22"/>
      <c r="AB40" s="22"/>
      <c r="AC40" s="22"/>
      <c r="AD40" s="22"/>
      <c r="AE40" s="22"/>
      <c r="AF40" s="22"/>
      <c r="AG40" s="54"/>
      <c r="AH40" s="22"/>
      <c r="AI40" s="22"/>
      <c r="AJ40" s="22"/>
      <c r="AK40" s="22"/>
      <c r="AL40" s="22"/>
      <c r="AM40" s="22"/>
      <c r="AN40" s="22"/>
      <c r="AO40" s="22"/>
      <c r="AP40" s="22"/>
      <c r="AQ40" s="22"/>
      <c r="AR40" s="22"/>
      <c r="AS40" s="22"/>
      <c r="AT40" s="22"/>
      <c r="AU40" s="22"/>
      <c r="AV40" s="22"/>
      <c r="AW40" s="22"/>
    </row>
    <row r="41" spans="2:49" x14ac:dyDescent="0.15">
      <c r="B41" s="7"/>
      <c r="C41" s="86"/>
      <c r="D41" s="86"/>
      <c r="E41" s="86"/>
      <c r="F41" s="86"/>
      <c r="G41" s="86"/>
      <c r="H41" s="86"/>
      <c r="I41" s="86"/>
      <c r="J41" s="86"/>
      <c r="K41" s="86"/>
      <c r="L41" s="86"/>
      <c r="M41" s="86"/>
      <c r="N41" s="86"/>
      <c r="O41" s="86"/>
      <c r="P41" s="86"/>
      <c r="Q41" s="86"/>
      <c r="R41" s="86"/>
      <c r="S41" s="86"/>
      <c r="T41" s="22"/>
      <c r="U41" s="22"/>
      <c r="V41" s="22"/>
      <c r="W41" s="22"/>
      <c r="X41" s="22"/>
      <c r="Y41" s="22"/>
      <c r="Z41" s="22"/>
      <c r="AA41" s="22"/>
      <c r="AB41" s="22"/>
      <c r="AC41" s="22"/>
      <c r="AD41" s="22"/>
      <c r="AE41" s="22"/>
      <c r="AF41" s="22"/>
      <c r="AG41" s="54"/>
      <c r="AH41" s="22"/>
      <c r="AI41" s="22"/>
      <c r="AJ41" s="22"/>
      <c r="AK41" s="22"/>
      <c r="AL41" s="22"/>
      <c r="AM41" s="22"/>
      <c r="AN41" s="22"/>
      <c r="AO41" s="22"/>
      <c r="AP41" s="22"/>
      <c r="AQ41" s="22"/>
      <c r="AR41" s="22"/>
      <c r="AS41" s="22"/>
      <c r="AT41" s="22"/>
      <c r="AU41" s="22"/>
      <c r="AV41" s="22"/>
      <c r="AW41" s="22"/>
    </row>
    <row r="42" spans="2:49" x14ac:dyDescent="0.15">
      <c r="B42" s="7"/>
      <c r="C42" s="86"/>
      <c r="D42" s="86"/>
      <c r="E42" s="86"/>
      <c r="F42" s="86"/>
      <c r="G42" s="86"/>
      <c r="H42" s="86"/>
      <c r="I42" s="86"/>
      <c r="J42" s="86"/>
      <c r="K42" s="86"/>
      <c r="L42" s="86"/>
      <c r="M42" s="86"/>
      <c r="N42" s="86"/>
      <c r="O42" s="86"/>
      <c r="P42" s="86"/>
      <c r="Q42" s="86"/>
      <c r="R42" s="86"/>
      <c r="S42" s="86"/>
      <c r="T42" s="22"/>
      <c r="U42" s="22"/>
      <c r="V42" s="22"/>
      <c r="W42" s="22"/>
      <c r="X42" s="22"/>
      <c r="Y42" s="22"/>
      <c r="Z42" s="22"/>
      <c r="AA42" s="22"/>
      <c r="AB42" s="22"/>
      <c r="AC42" s="22"/>
      <c r="AD42" s="22"/>
      <c r="AE42" s="22"/>
      <c r="AF42" s="22"/>
      <c r="AG42" s="54"/>
      <c r="AH42" s="22"/>
      <c r="AI42" s="22"/>
      <c r="AJ42" s="22"/>
      <c r="AK42" s="22"/>
      <c r="AL42" s="22"/>
      <c r="AM42" s="22"/>
      <c r="AN42" s="22"/>
      <c r="AO42" s="22"/>
      <c r="AP42" s="22"/>
      <c r="AQ42" s="22"/>
      <c r="AR42" s="22"/>
      <c r="AS42" s="22"/>
      <c r="AT42" s="22"/>
      <c r="AU42" s="22"/>
      <c r="AV42" s="22"/>
      <c r="AW42" s="22"/>
    </row>
    <row r="43" spans="2:49" x14ac:dyDescent="0.1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54"/>
      <c r="AH43" s="22"/>
      <c r="AI43" s="22"/>
      <c r="AJ43" s="22"/>
      <c r="AK43" s="22"/>
      <c r="AL43" s="22"/>
      <c r="AM43" s="22"/>
      <c r="AN43" s="22"/>
      <c r="AO43" s="22"/>
      <c r="AP43" s="22"/>
      <c r="AQ43" s="22"/>
      <c r="AR43" s="22"/>
      <c r="AS43" s="22"/>
      <c r="AT43" s="22"/>
      <c r="AU43" s="22"/>
      <c r="AV43" s="22"/>
      <c r="AW43" s="22"/>
    </row>
    <row r="44" spans="2:49" x14ac:dyDescent="0.1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54"/>
      <c r="AH44" s="22"/>
      <c r="AI44" s="22"/>
      <c r="AJ44" s="22"/>
      <c r="AK44" s="22"/>
      <c r="AL44" s="22"/>
      <c r="AM44" s="22"/>
      <c r="AN44" s="22"/>
      <c r="AO44" s="22"/>
      <c r="AP44" s="22"/>
      <c r="AQ44" s="22"/>
      <c r="AR44" s="22"/>
      <c r="AS44" s="22"/>
      <c r="AT44" s="22"/>
      <c r="AU44" s="22"/>
      <c r="AV44" s="22"/>
      <c r="AW44" s="22"/>
    </row>
    <row r="45" spans="2:49" x14ac:dyDescent="0.1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54"/>
      <c r="AH45" s="22"/>
      <c r="AI45" s="22"/>
      <c r="AJ45" s="22"/>
      <c r="AK45" s="22"/>
      <c r="AL45" s="22"/>
      <c r="AM45" s="22"/>
      <c r="AN45" s="22"/>
      <c r="AO45" s="22"/>
      <c r="AP45" s="22"/>
      <c r="AQ45" s="22"/>
      <c r="AR45" s="22"/>
      <c r="AS45" s="22"/>
      <c r="AT45" s="22"/>
      <c r="AU45" s="22"/>
      <c r="AV45" s="22"/>
      <c r="AW45" s="22"/>
    </row>
    <row r="46" spans="2:49" x14ac:dyDescent="0.1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row>
    <row r="47" spans="2:49" x14ac:dyDescent="0.1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83"/>
      <c r="AH47" s="22"/>
      <c r="AI47" s="22"/>
      <c r="AJ47" s="22"/>
      <c r="AK47" s="22"/>
      <c r="AL47" s="22"/>
      <c r="AM47" s="22"/>
      <c r="AN47" s="22"/>
      <c r="AO47" s="22"/>
      <c r="AP47" s="22"/>
      <c r="AQ47" s="22"/>
      <c r="AR47" s="22"/>
      <c r="AS47" s="22"/>
      <c r="AT47" s="22"/>
      <c r="AU47" s="22"/>
      <c r="AV47" s="22"/>
      <c r="AW47" s="22"/>
    </row>
    <row r="48" spans="2:49" x14ac:dyDescent="0.1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83"/>
      <c r="AH48" s="22"/>
      <c r="AI48" s="22"/>
      <c r="AJ48" s="22"/>
      <c r="AK48" s="22"/>
      <c r="AL48" s="22"/>
      <c r="AM48" s="22"/>
      <c r="AN48" s="22"/>
      <c r="AO48" s="22"/>
      <c r="AP48" s="22"/>
      <c r="AQ48" s="22"/>
      <c r="AR48" s="22"/>
      <c r="AS48" s="22"/>
      <c r="AT48" s="22"/>
      <c r="AU48" s="22"/>
      <c r="AV48" s="22"/>
      <c r="AW48" s="22"/>
    </row>
    <row r="49" spans="2:49" x14ac:dyDescent="0.1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row>
    <row r="50" spans="2:49" x14ac:dyDescent="0.1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row>
    <row r="51" spans="2:49" x14ac:dyDescent="0.1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row>
    <row r="52" spans="2:49" x14ac:dyDescent="0.1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row>
    <row r="53" spans="2:49" x14ac:dyDescent="0.1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row>
    <row r="54" spans="2:49" x14ac:dyDescent="0.1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row>
    <row r="55" spans="2:49" x14ac:dyDescent="0.1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row>
    <row r="56" spans="2:49" x14ac:dyDescent="0.1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row>
    <row r="57" spans="2:49" x14ac:dyDescent="0.1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row>
    <row r="58" spans="2:49" x14ac:dyDescent="0.1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row>
    <row r="59" spans="2:49" x14ac:dyDescent="0.1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row>
    <row r="60" spans="2:49" x14ac:dyDescent="0.1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row>
    <row r="61" spans="2:49" x14ac:dyDescent="0.1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row>
    <row r="62" spans="2:49" x14ac:dyDescent="0.1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row>
    <row r="63" spans="2:49" x14ac:dyDescent="0.1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row>
    <row r="64" spans="2:49" x14ac:dyDescent="0.1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row>
    <row r="65" spans="2:49" x14ac:dyDescent="0.1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row>
    <row r="66" spans="2:49" x14ac:dyDescent="0.1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row>
    <row r="67" spans="2:49" x14ac:dyDescent="0.1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row>
    <row r="68" spans="2:49" x14ac:dyDescent="0.1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row>
    <row r="69" spans="2:49" x14ac:dyDescent="0.1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row>
    <row r="70" spans="2:49" x14ac:dyDescent="0.1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row>
    <row r="71" spans="2:49" x14ac:dyDescent="0.1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row>
    <row r="72" spans="2:49" x14ac:dyDescent="0.1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row>
    <row r="73" spans="2:49" x14ac:dyDescent="0.1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row>
    <row r="74" spans="2:49" x14ac:dyDescent="0.1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row>
    <row r="75" spans="2:49" x14ac:dyDescent="0.1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row>
    <row r="76" spans="2:49" x14ac:dyDescent="0.1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row>
    <row r="77" spans="2:49" x14ac:dyDescent="0.1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row>
    <row r="78" spans="2:49" x14ac:dyDescent="0.1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row>
    <row r="79" spans="2:49" x14ac:dyDescent="0.1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row>
    <row r="80" spans="2:49" x14ac:dyDescent="0.1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row>
    <row r="81" spans="2:49" x14ac:dyDescent="0.1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row>
    <row r="82" spans="2:49" x14ac:dyDescent="0.1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row>
    <row r="83" spans="2:49" x14ac:dyDescent="0.1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row>
    <row r="84" spans="2:49" x14ac:dyDescent="0.1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row>
    <row r="85" spans="2:49" x14ac:dyDescent="0.1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row>
    <row r="86" spans="2:49" x14ac:dyDescent="0.1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row>
    <row r="87" spans="2:49" x14ac:dyDescent="0.1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row>
    <row r="88" spans="2:49" x14ac:dyDescent="0.1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row>
    <row r="89" spans="2:49" x14ac:dyDescent="0.1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row>
    <row r="90" spans="2:49" x14ac:dyDescent="0.1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row>
    <row r="91" spans="2:49" x14ac:dyDescent="0.1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row>
    <row r="92" spans="2:49" x14ac:dyDescent="0.1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row>
    <row r="93" spans="2:49" x14ac:dyDescent="0.1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row>
    <row r="94" spans="2:49" x14ac:dyDescent="0.1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row>
    <row r="95" spans="2:49" x14ac:dyDescent="0.1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row>
    <row r="96" spans="2:49" x14ac:dyDescent="0.1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row>
    <row r="97" spans="2:49" x14ac:dyDescent="0.1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row>
    <row r="98" spans="2:49" x14ac:dyDescent="0.1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row>
    <row r="99" spans="2:49" x14ac:dyDescent="0.1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row>
    <row r="100" spans="2:49" x14ac:dyDescent="0.1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row>
    <row r="101" spans="2:49" x14ac:dyDescent="0.1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row>
    <row r="102" spans="2:49" x14ac:dyDescent="0.1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row>
    <row r="103" spans="2:49" x14ac:dyDescent="0.1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row>
    <row r="104" spans="2:49" x14ac:dyDescent="0.1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row>
    <row r="105" spans="2:49" x14ac:dyDescent="0.1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row>
    <row r="106" spans="2:49" x14ac:dyDescent="0.1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row>
    <row r="107" spans="2:49" x14ac:dyDescent="0.1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row>
    <row r="108" spans="2:49" x14ac:dyDescent="0.1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row>
    <row r="109" spans="2:49" x14ac:dyDescent="0.1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row>
    <row r="110" spans="2:49" x14ac:dyDescent="0.1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row>
    <row r="111" spans="2:49" x14ac:dyDescent="0.1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row>
    <row r="112" spans="2:49" x14ac:dyDescent="0.1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row>
    <row r="113" spans="2:49" x14ac:dyDescent="0.1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row>
    <row r="114" spans="2:49" x14ac:dyDescent="0.1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row>
    <row r="115" spans="2:49" x14ac:dyDescent="0.1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row>
    <row r="116" spans="2:49" x14ac:dyDescent="0.1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row>
    <row r="117" spans="2:49" x14ac:dyDescent="0.1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row>
    <row r="118" spans="2:49" x14ac:dyDescent="0.1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row>
    <row r="119" spans="2:49" x14ac:dyDescent="0.1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row>
    <row r="120" spans="2:49" x14ac:dyDescent="0.1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row>
    <row r="121" spans="2:49" x14ac:dyDescent="0.1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row>
    <row r="122" spans="2:49" x14ac:dyDescent="0.1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row>
    <row r="123" spans="2:49" x14ac:dyDescent="0.1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row>
    <row r="124" spans="2:49" x14ac:dyDescent="0.1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row>
    <row r="125" spans="2:49" x14ac:dyDescent="0.1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row>
    <row r="126" spans="2:49" x14ac:dyDescent="0.1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row>
    <row r="127" spans="2:49" x14ac:dyDescent="0.1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row>
    <row r="128" spans="2:49" x14ac:dyDescent="0.1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row>
    <row r="129" spans="2:49" x14ac:dyDescent="0.1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row>
    <row r="130" spans="2:49" x14ac:dyDescent="0.1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row>
    <row r="131" spans="2:49" x14ac:dyDescent="0.1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row>
    <row r="132" spans="2:49" x14ac:dyDescent="0.1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row>
    <row r="133" spans="2:49" x14ac:dyDescent="0.1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row>
    <row r="134" spans="2:49" x14ac:dyDescent="0.1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row>
    <row r="135" spans="2:49" x14ac:dyDescent="0.1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row>
    <row r="136" spans="2:49" x14ac:dyDescent="0.1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row>
    <row r="137" spans="2:49" x14ac:dyDescent="0.1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row>
    <row r="138" spans="2:49" x14ac:dyDescent="0.1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row>
    <row r="139" spans="2:49" x14ac:dyDescent="0.1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row>
    <row r="140" spans="2:49" x14ac:dyDescent="0.1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row>
    <row r="141" spans="2:49" x14ac:dyDescent="0.1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row>
    <row r="142" spans="2:49" x14ac:dyDescent="0.1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row>
    <row r="143" spans="2:49" x14ac:dyDescent="0.1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row>
    <row r="144" spans="2:49" x14ac:dyDescent="0.1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row>
    <row r="145" spans="2:49" x14ac:dyDescent="0.1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row>
    <row r="146" spans="2:49" x14ac:dyDescent="0.1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row>
    <row r="147" spans="2:49" x14ac:dyDescent="0.1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row>
    <row r="148" spans="2:49" x14ac:dyDescent="0.1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row>
    <row r="149" spans="2:49" x14ac:dyDescent="0.1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row>
    <row r="150" spans="2:49" x14ac:dyDescent="0.1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row>
    <row r="151" spans="2:49" x14ac:dyDescent="0.1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row>
    <row r="152" spans="2:49" x14ac:dyDescent="0.1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row>
    <row r="153" spans="2:49" x14ac:dyDescent="0.1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row>
    <row r="154" spans="2:49" x14ac:dyDescent="0.1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row>
    <row r="155" spans="2:49" x14ac:dyDescent="0.1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row>
    <row r="156" spans="2:49" x14ac:dyDescent="0.1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row>
    <row r="157" spans="2:49" x14ac:dyDescent="0.1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row>
    <row r="158" spans="2:49" x14ac:dyDescent="0.1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row>
    <row r="159" spans="2:49" x14ac:dyDescent="0.1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row>
    <row r="160" spans="2:49" x14ac:dyDescent="0.1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row>
    <row r="161" spans="2:49" x14ac:dyDescent="0.1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row>
    <row r="162" spans="2:49" x14ac:dyDescent="0.1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row>
    <row r="163" spans="2:49" x14ac:dyDescent="0.1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row>
    <row r="164" spans="2:49" x14ac:dyDescent="0.1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row>
    <row r="165" spans="2:49" x14ac:dyDescent="0.1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row>
    <row r="166" spans="2:49" x14ac:dyDescent="0.1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row>
    <row r="167" spans="2:49" x14ac:dyDescent="0.1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row>
    <row r="168" spans="2:49" x14ac:dyDescent="0.1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row>
    <row r="169" spans="2:49" x14ac:dyDescent="0.1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row>
    <row r="170" spans="2:49" x14ac:dyDescent="0.1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row>
    <row r="171" spans="2:49" x14ac:dyDescent="0.1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row>
    <row r="172" spans="2:49" x14ac:dyDescent="0.1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row>
    <row r="173" spans="2:49" x14ac:dyDescent="0.1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row>
    <row r="174" spans="2:49" x14ac:dyDescent="0.1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row>
    <row r="175" spans="2:49" x14ac:dyDescent="0.1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row>
    <row r="176" spans="2:49" x14ac:dyDescent="0.1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row>
    <row r="177" spans="2:49" x14ac:dyDescent="0.1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row>
    <row r="178" spans="2:49" x14ac:dyDescent="0.1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row>
    <row r="179" spans="2:49" x14ac:dyDescent="0.1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row>
    <row r="180" spans="2:49" x14ac:dyDescent="0.1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row>
    <row r="181" spans="2:49" x14ac:dyDescent="0.1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row>
    <row r="182" spans="2:49" x14ac:dyDescent="0.1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row>
    <row r="183" spans="2:49" x14ac:dyDescent="0.1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row>
    <row r="184" spans="2:49" x14ac:dyDescent="0.1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row>
    <row r="185" spans="2:49" x14ac:dyDescent="0.1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row>
    <row r="186" spans="2:49" x14ac:dyDescent="0.1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row>
    <row r="187" spans="2:49" x14ac:dyDescent="0.1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row>
    <row r="188" spans="2:49" x14ac:dyDescent="0.1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row>
    <row r="189" spans="2:49" x14ac:dyDescent="0.1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row>
    <row r="190" spans="2:49" x14ac:dyDescent="0.1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row>
    <row r="191" spans="2:49" x14ac:dyDescent="0.1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row>
    <row r="192" spans="2:49" x14ac:dyDescent="0.1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row>
    <row r="193" spans="2:49" x14ac:dyDescent="0.1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row>
    <row r="194" spans="2:49" x14ac:dyDescent="0.1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row>
    <row r="195" spans="2:49" x14ac:dyDescent="0.1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row>
    <row r="196" spans="2:49" x14ac:dyDescent="0.1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row>
    <row r="197" spans="2:49" x14ac:dyDescent="0.1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row>
    <row r="198" spans="2:49" x14ac:dyDescent="0.1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row>
    <row r="199" spans="2:49" x14ac:dyDescent="0.1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row>
    <row r="200" spans="2:49" x14ac:dyDescent="0.1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row>
    <row r="201" spans="2:49" x14ac:dyDescent="0.1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row>
    <row r="202" spans="2:49" x14ac:dyDescent="0.1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row>
    <row r="203" spans="2:49" x14ac:dyDescent="0.1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row>
    <row r="204" spans="2:49" x14ac:dyDescent="0.1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row>
    <row r="205" spans="2:49" x14ac:dyDescent="0.1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row>
    <row r="206" spans="2:49" x14ac:dyDescent="0.1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row>
    <row r="207" spans="2:49" x14ac:dyDescent="0.1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row>
    <row r="208" spans="2:49" x14ac:dyDescent="0.1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row>
    <row r="209" spans="2:49" x14ac:dyDescent="0.1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row>
    <row r="210" spans="2:49" x14ac:dyDescent="0.1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row>
    <row r="211" spans="2:49" x14ac:dyDescent="0.1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row>
    <row r="212" spans="2:49" x14ac:dyDescent="0.1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row>
    <row r="213" spans="2:49" x14ac:dyDescent="0.1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row>
    <row r="214" spans="2:49" x14ac:dyDescent="0.1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row>
    <row r="215" spans="2:49" x14ac:dyDescent="0.1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row>
    <row r="216" spans="2:49" x14ac:dyDescent="0.1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row>
    <row r="217" spans="2:49" x14ac:dyDescent="0.1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row>
    <row r="218" spans="2:49" x14ac:dyDescent="0.1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row>
    <row r="219" spans="2:49" x14ac:dyDescent="0.1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row>
    <row r="220" spans="2:49" x14ac:dyDescent="0.1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row>
    <row r="221" spans="2:49" x14ac:dyDescent="0.1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row>
    <row r="222" spans="2:49" x14ac:dyDescent="0.1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row>
    <row r="223" spans="2:49" x14ac:dyDescent="0.1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row>
    <row r="224" spans="2:49" x14ac:dyDescent="0.1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row>
    <row r="225" spans="2:49" x14ac:dyDescent="0.1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row>
    <row r="226" spans="2:49" x14ac:dyDescent="0.1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row>
    <row r="227" spans="2:49" x14ac:dyDescent="0.1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row>
    <row r="228" spans="2:49" x14ac:dyDescent="0.1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row>
    <row r="229" spans="2:49" x14ac:dyDescent="0.1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row>
    <row r="230" spans="2:49" x14ac:dyDescent="0.1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row>
    <row r="231" spans="2:49" x14ac:dyDescent="0.1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row>
  </sheetData>
  <mergeCells count="14">
    <mergeCell ref="B20:B21"/>
    <mergeCell ref="C20:L20"/>
    <mergeCell ref="C21:D21"/>
    <mergeCell ref="E21:F21"/>
    <mergeCell ref="G21:H21"/>
    <mergeCell ref="I21:J21"/>
    <mergeCell ref="K21:L21"/>
    <mergeCell ref="B3:B4"/>
    <mergeCell ref="C3:L3"/>
    <mergeCell ref="C4:D4"/>
    <mergeCell ref="E4:F4"/>
    <mergeCell ref="G4:H4"/>
    <mergeCell ref="I4:J4"/>
    <mergeCell ref="K4:L4"/>
  </mergeCells>
  <phoneticPr fontId="2"/>
  <printOptions horizontalCentered="1"/>
  <pageMargins left="0.70866141732283472" right="0.70866141732283472" top="0.74803149606299213" bottom="0.74803149606299213" header="0.31496062992125984" footer="0.31496062992125984"/>
  <pageSetup paperSize="9" scale="86" orientation="landscape" r:id="rId1"/>
  <ignoredErrors>
    <ignoredError sqref="D14:L14 D31:J3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データ削除23">
                <anchor moveWithCells="1" sizeWithCells="1">
                  <from>
                    <xdr:col>31</xdr:col>
                    <xdr:colOff>447675</xdr:colOff>
                    <xdr:row>3</xdr:row>
                    <xdr:rowOff>180975</xdr:rowOff>
                  </from>
                  <to>
                    <xdr:col>34</xdr:col>
                    <xdr:colOff>333375</xdr:colOff>
                    <xdr:row>6</xdr:row>
                    <xdr:rowOff>0</xdr:rowOff>
                  </to>
                </anchor>
              </controlPr>
            </control>
          </mc:Choice>
        </mc:AlternateContent>
      </controls>
    </mc:Choice>
  </mc:AlternateContent>
  <tableParts count="4">
    <tablePart r:id="rId5"/>
    <tablePart r:id="rId6"/>
    <tablePart r:id="rId7"/>
    <tablePart r:id="rId8"/>
  </tablePar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rgb="FFFF0000"/>
    <pageSetUpPr fitToPage="1"/>
  </sheetPr>
  <dimension ref="B1:BB41"/>
  <sheetViews>
    <sheetView showGridLines="0" topLeftCell="A22" zoomScale="70" zoomScaleNormal="70" zoomScaleSheetLayoutView="90" workbookViewId="0">
      <selection activeCell="K43" sqref="K43"/>
    </sheetView>
  </sheetViews>
  <sheetFormatPr defaultRowHeight="18.75" x14ac:dyDescent="0.15"/>
  <cols>
    <col min="1" max="1" width="4" style="1" customWidth="1"/>
    <col min="2" max="2" width="12.5" style="1" customWidth="1"/>
    <col min="3" max="12" width="8.75" style="1" customWidth="1"/>
    <col min="13" max="13" width="16.5" style="1" customWidth="1"/>
    <col min="14" max="14" width="2.5" style="1" customWidth="1"/>
    <col min="15" max="15" width="17.75" style="1" hidden="1" customWidth="1"/>
    <col min="16" max="31" width="11.125" style="1" hidden="1" customWidth="1"/>
    <col min="32" max="54" width="9" style="1" hidden="1" customWidth="1"/>
    <col min="55" max="16384" width="9" style="1"/>
  </cols>
  <sheetData>
    <row r="1" spans="2:54" ht="19.5" customHeight="1" x14ac:dyDescent="0.15">
      <c r="B1" s="2" t="s">
        <v>157</v>
      </c>
    </row>
    <row r="2" spans="2:54" ht="18.75" customHeight="1" thickBot="1" x14ac:dyDescent="0.2">
      <c r="B2" s="714" t="s">
        <v>65</v>
      </c>
      <c r="C2" s="716" t="s">
        <v>64</v>
      </c>
      <c r="D2" s="717"/>
      <c r="E2" s="717"/>
      <c r="F2" s="717"/>
      <c r="G2" s="717"/>
      <c r="H2" s="717"/>
      <c r="I2" s="717"/>
      <c r="J2" s="717"/>
      <c r="K2" s="717"/>
      <c r="L2" s="718"/>
      <c r="O2" s="34" t="s">
        <v>63</v>
      </c>
    </row>
    <row r="3" spans="2:54" ht="18.75" customHeight="1" thickTop="1" thickBot="1" x14ac:dyDescent="0.2">
      <c r="B3" s="715"/>
      <c r="C3" s="719" t="s">
        <v>69</v>
      </c>
      <c r="D3" s="720"/>
      <c r="E3" s="719" t="s">
        <v>70</v>
      </c>
      <c r="F3" s="720"/>
      <c r="G3" s="719" t="s">
        <v>71</v>
      </c>
      <c r="H3" s="720"/>
      <c r="I3" s="719" t="s">
        <v>72</v>
      </c>
      <c r="J3" s="720"/>
      <c r="K3" s="719" t="s">
        <v>62</v>
      </c>
      <c r="L3" s="720"/>
      <c r="O3" s="429" t="s">
        <v>370</v>
      </c>
      <c r="P3" s="487" t="s">
        <v>183</v>
      </c>
      <c r="Q3" s="487" t="s">
        <v>182</v>
      </c>
      <c r="R3" s="487" t="s">
        <v>184</v>
      </c>
      <c r="S3" s="487" t="s">
        <v>185</v>
      </c>
      <c r="T3" s="487" t="s">
        <v>186</v>
      </c>
      <c r="U3" s="487" t="s">
        <v>187</v>
      </c>
      <c r="V3" s="487" t="s">
        <v>188</v>
      </c>
      <c r="W3" s="487" t="s">
        <v>189</v>
      </c>
      <c r="X3" s="487" t="s">
        <v>190</v>
      </c>
      <c r="Y3" s="487" t="s">
        <v>191</v>
      </c>
      <c r="Z3" s="487" t="s">
        <v>192</v>
      </c>
      <c r="AA3" s="487" t="s">
        <v>193</v>
      </c>
      <c r="AB3" s="487" t="s">
        <v>194</v>
      </c>
      <c r="AC3" s="487" t="s">
        <v>195</v>
      </c>
      <c r="AD3" s="487" t="s">
        <v>196</v>
      </c>
      <c r="AE3" s="486" t="s">
        <v>197</v>
      </c>
      <c r="AM3" s="486" t="s">
        <v>182</v>
      </c>
      <c r="AN3" s="487" t="s">
        <v>183</v>
      </c>
      <c r="AO3" s="487" t="s">
        <v>184</v>
      </c>
      <c r="AP3" s="487" t="s">
        <v>185</v>
      </c>
      <c r="AQ3" s="487" t="s">
        <v>186</v>
      </c>
      <c r="AR3" s="487" t="s">
        <v>187</v>
      </c>
      <c r="AS3" s="487" t="s">
        <v>188</v>
      </c>
      <c r="AT3" s="487" t="s">
        <v>189</v>
      </c>
      <c r="AU3" s="487" t="s">
        <v>190</v>
      </c>
      <c r="AV3" s="487" t="s">
        <v>191</v>
      </c>
      <c r="AW3" s="487" t="s">
        <v>192</v>
      </c>
      <c r="AX3" s="487" t="s">
        <v>193</v>
      </c>
      <c r="AY3" s="487" t="s">
        <v>194</v>
      </c>
      <c r="AZ3" s="487" t="s">
        <v>195</v>
      </c>
      <c r="BA3" s="487" t="s">
        <v>196</v>
      </c>
      <c r="BB3" s="486" t="s">
        <v>197</v>
      </c>
    </row>
    <row r="4" spans="2:54" ht="18.75" customHeight="1" thickTop="1" x14ac:dyDescent="0.15">
      <c r="B4" s="228" t="s">
        <v>2</v>
      </c>
      <c r="C4" s="229">
        <f>IFERROR(INDEX(年齢階層×在院期間区分F3[#All],MATCH($AL4,年齢階層×在院期間区分F3[[#All],[行ラベル]],0),MATCH($AM$3,年齢階層×在院期間区分F3[#Headers],0)),0)+IFERROR(INDEX(年齢階層×在院期間区分F3[#All],MATCH($AL4,年齢階層×在院期間区分F3[[#All],[行ラベル]],0),MATCH($AN$3,年齢階層×在院期間区分F3[#Headers],0)),0)+IFERROR(INDEX(年齢階層×在院期間区分F3[#All],MATCH($AL4,年齢階層×在院期間区分F3[[#All],[行ラベル]],0),MATCH($AO$3,年齢階層×在院期間区分F3[#Headers],0)),0)+IFERROR(INDEX(年齢階層×在院期間区分F3[#All],MATCH($AL4,年齢階層×在院期間区分F3[[#All],[行ラベル]],0),MATCH($AP$3,年齢階層×在院期間区分F3[#Headers],0)),0)</f>
        <v>22</v>
      </c>
      <c r="D4" s="224">
        <f t="shared" ref="D4:D12" si="0">IFERROR(C4/$C$13,"-")</f>
        <v>2.4282560706401765E-2</v>
      </c>
      <c r="E4" s="229">
        <f>IFERROR(INDEX(年齢階層×在院期間区分F3[#All],MATCH($AL4,年齢階層×在院期間区分F3[[#All],[行ラベル]],0),MATCH($AQ$3,年齢階層×在院期間区分F3[#Headers],0)),0)+IFERROR(INDEX(年齢階層×在院期間区分F3[#All],MATCH($AL4,年齢階層×在院期間区分F3[[#All],[行ラベル]],0),MATCH($AR$3,年齢階層×在院期間区分F3[#Headers],0)),0)+IFERROR(INDEX(年齢階層×在院期間区分F3[#All],MATCH($AL4,年齢階層×在院期間区分F3[[#All],[行ラベル]],0),MATCH($AS$3,年齢階層×在院期間区分F3[#Headers],0)),0)+IFERROR(INDEX(年齢階層×在院期間区分F3[#All],MATCH($AL4,年齢階層×在院期間区分F3[[#All],[行ラベル]],0),MATCH($AT$3,年齢階層×在院期間区分F3[#Headers],0)),0)+IFERROR(INDEX(年齢階層×在院期間区分F3[#All],MATCH($AL4,年齢階層×在院期間区分F3[[#All],[行ラベル]],0),MATCH($AU$3,年齢階層×在院期間区分F3[#Headers],0)),0)</f>
        <v>0</v>
      </c>
      <c r="F4" s="224">
        <f t="shared" ref="F4:F12" si="1">IFERROR(E4/$E$13,"-")</f>
        <v>0</v>
      </c>
      <c r="G4" s="223">
        <f>IFERROR(INDEX(年齢階層×在院期間区分F3[#All],MATCH($AL4,年齢階層×在院期間区分F3[[#All],[行ラベル]],0),MATCH($AV$3,年齢階層×在院期間区分F3[#Headers],0)),0)+IFERROR(INDEX(年齢階層×在院期間区分F3[#All],MATCH($AL4,年齢階層×在院期間区分F3[[#All],[行ラベル]],0),MATCH($AW$3,年齢階層×在院期間区分F3[#Headers],0)),0)+IFERROR(INDEX(年齢階層×在院期間区分F3[#All],MATCH($AL4,年齢階層×在院期間区分F3[[#All],[行ラベル]],0),MATCH($AX$3,年齢階層×在院期間区分F3[#Headers],0)),0)+IFERROR(INDEX(年齢階層×在院期間区分F3[#All],MATCH($AL4,年齢階層×在院期間区分F3[[#All],[行ラベル]],0),MATCH($AY$3,年齢階層×在院期間区分F3[#Headers],0)),0)+IFERROR(INDEX(年齢階層×在院期間区分F3[#All],MATCH($AL4,年齢階層×在院期間区分F3[[#All],[行ラベル]],0),MATCH($AZ$3,年齢階層×在院期間区分F3[#Headers],0)),0)</f>
        <v>0</v>
      </c>
      <c r="H4" s="224">
        <f t="shared" ref="H4:H12" si="2">IFERROR(G4/$G$13,"-")</f>
        <v>0</v>
      </c>
      <c r="I4" s="229">
        <f>IFERROR(INDEX(年齢階層×在院期間区分F3[#All],MATCH($AL4,年齢階層×在院期間区分F3[[#All],[行ラベル]],0),MATCH($BA$3,年齢階層×在院期間区分F3[#Headers],0)),0)+IFERROR(INDEX(年齢階層×在院期間区分F3[#All],MATCH($AL4,年齢階層×在院期間区分F3[[#All],[行ラベル]],0),MATCH($BB$3,年齢階層×在院期間区分F3[#Headers],0)),0)</f>
        <v>0</v>
      </c>
      <c r="J4" s="224">
        <f t="shared" ref="J4:J12" si="3">IFERROR(I4/$I$13,"-")</f>
        <v>0</v>
      </c>
      <c r="K4" s="223">
        <f t="shared" ref="K4:K12" si="4">SUM(C4,E4,G4,I4)</f>
        <v>22</v>
      </c>
      <c r="L4" s="224">
        <f t="shared" ref="L4:L12" si="5">IFERROR(K4/$K$13,"-")</f>
        <v>1.4388489208633094E-2</v>
      </c>
      <c r="O4" s="54" t="s">
        <v>2</v>
      </c>
      <c r="P4" s="66">
        <v>5</v>
      </c>
      <c r="Q4" s="66">
        <v>13</v>
      </c>
      <c r="R4" s="66">
        <v>4</v>
      </c>
      <c r="S4" s="66"/>
      <c r="T4" s="66"/>
      <c r="U4" s="66"/>
      <c r="V4" s="66"/>
      <c r="W4" s="66"/>
      <c r="X4" s="66"/>
      <c r="Y4" s="66"/>
      <c r="Z4" s="66"/>
      <c r="AA4" s="66"/>
      <c r="AB4" s="66"/>
      <c r="AC4" s="66"/>
      <c r="AD4" s="66"/>
      <c r="AE4" s="66"/>
      <c r="AF4" s="22"/>
      <c r="AG4" s="22"/>
      <c r="AL4" s="54" t="s">
        <v>2</v>
      </c>
      <c r="AM4" s="67"/>
      <c r="AP4" s="67"/>
    </row>
    <row r="5" spans="2:54" ht="18.75" customHeight="1" x14ac:dyDescent="0.15">
      <c r="B5" s="230" t="s">
        <v>3</v>
      </c>
      <c r="C5" s="231">
        <f>IFERROR(INDEX(年齢階層×在院期間区分F3[#All],MATCH($AL5,年齢階層×在院期間区分F3[[#All],[行ラベル]],0),MATCH($AM$3,年齢階層×在院期間区分F3[#Headers],0)),0)+IFERROR(INDEX(年齢階層×在院期間区分F3[#All],MATCH($AL5,年齢階層×在院期間区分F3[[#All],[行ラベル]],0),MATCH($AN$3,年齢階層×在院期間区分F3[#Headers],0)),0)+IFERROR(INDEX(年齢階層×在院期間区分F3[#All],MATCH($AL5,年齢階層×在院期間区分F3[[#All],[行ラベル]],0),MATCH($AO$3,年齢階層×在院期間区分F3[#Headers],0)),0)+IFERROR(INDEX(年齢階層×在院期間区分F3[#All],MATCH($AL5,年齢階層×在院期間区分F3[[#All],[行ラベル]],0),MATCH($AP$3,年齢階層×在院期間区分F3[#Headers],0)),0)</f>
        <v>37</v>
      </c>
      <c r="D5" s="209">
        <f t="shared" si="0"/>
        <v>4.0838852097130243E-2</v>
      </c>
      <c r="E5" s="231">
        <f>IFERROR(INDEX(年齢階層×在院期間区分F3[#All],MATCH($AL5,年齢階層×在院期間区分F3[[#All],[行ラベル]],0),MATCH($AQ$3,年齢階層×在院期間区分F3[#Headers],0)),0)+IFERROR(INDEX(年齢階層×在院期間区分F3[#All],MATCH($AL5,年齢階層×在院期間区分F3[[#All],[行ラベル]],0),MATCH($AR$3,年齢階層×在院期間区分F3[#Headers],0)),0)+IFERROR(INDEX(年齢階層×在院期間区分F3[#All],MATCH($AL5,年齢階層×在院期間区分F3[[#All],[行ラベル]],0),MATCH($AS$3,年齢階層×在院期間区分F3[#Headers],0)),0)+IFERROR(INDEX(年齢階層×在院期間区分F3[#All],MATCH($AL5,年齢階層×在院期間区分F3[[#All],[行ラベル]],0),MATCH($AT$3,年齢階層×在院期間区分F3[#Headers],0)),0)+IFERROR(INDEX(年齢階層×在院期間区分F3[#All],MATCH($AL5,年齢階層×在院期間区分F3[[#All],[行ラベル]],0),MATCH($AU$3,年齢階層×在院期間区分F3[#Headers],0)),0)</f>
        <v>1</v>
      </c>
      <c r="F5" s="209">
        <f t="shared" si="1"/>
        <v>2.4330900243309003E-3</v>
      </c>
      <c r="G5" s="208">
        <f>IFERROR(INDEX(年齢階層×在院期間区分F3[#All],MATCH($AL5,年齢階層×在院期間区分F3[[#All],[行ラベル]],0),MATCH($AV$3,年齢階層×在院期間区分F3[#Headers],0)),0)+IFERROR(INDEX(年齢階層×在院期間区分F3[#All],MATCH($AL5,年齢階層×在院期間区分F3[[#All],[行ラベル]],0),MATCH($AW$3,年齢階層×在院期間区分F3[#Headers],0)),0)+IFERROR(INDEX(年齢階層×在院期間区分F3[#All],MATCH($AL5,年齢階層×在院期間区分F3[[#All],[行ラベル]],0),MATCH($AX$3,年齢階層×在院期間区分F3[#Headers],0)),0)+IFERROR(INDEX(年齢階層×在院期間区分F3[#All],MATCH($AL5,年齢階層×在院期間区分F3[[#All],[行ラベル]],0),MATCH($AY$3,年齢階層×在院期間区分F3[#Headers],0)),0)+IFERROR(INDEX(年齢階層×在院期間区分F3[#All],MATCH($AL5,年齢階層×在院期間区分F3[[#All],[行ラベル]],0),MATCH($AZ$3,年齢階層×在院期間区分F3[#Headers],0)),0)</f>
        <v>0</v>
      </c>
      <c r="H5" s="209">
        <f t="shared" si="2"/>
        <v>0</v>
      </c>
      <c r="I5" s="231">
        <f>IFERROR(INDEX(年齢階層×在院期間区分F3[#All],MATCH($AL5,年齢階層×在院期間区分F3[[#All],[行ラベル]],0),MATCH($BA$3,年齢階層×在院期間区分F3[#Headers],0)),0)+IFERROR(INDEX(年齢階層×在院期間区分F3[#All],MATCH($AL5,年齢階層×在院期間区分F3[[#All],[行ラベル]],0),MATCH($BB$3,年齢階層×在院期間区分F3[#Headers],0)),0)</f>
        <v>0</v>
      </c>
      <c r="J5" s="209">
        <f t="shared" si="3"/>
        <v>0</v>
      </c>
      <c r="K5" s="208">
        <f t="shared" si="4"/>
        <v>38</v>
      </c>
      <c r="L5" s="209">
        <f t="shared" si="5"/>
        <v>2.4852844996729889E-2</v>
      </c>
      <c r="O5" s="54" t="s">
        <v>3</v>
      </c>
      <c r="P5" s="66">
        <v>12</v>
      </c>
      <c r="Q5" s="66">
        <v>22</v>
      </c>
      <c r="R5" s="66">
        <v>3</v>
      </c>
      <c r="S5" s="66"/>
      <c r="T5" s="66">
        <v>1</v>
      </c>
      <c r="U5" s="66"/>
      <c r="V5" s="66"/>
      <c r="W5" s="66"/>
      <c r="X5" s="66"/>
      <c r="Y5" s="66"/>
      <c r="Z5" s="66"/>
      <c r="AA5" s="66"/>
      <c r="AB5" s="66"/>
      <c r="AC5" s="66"/>
      <c r="AD5" s="66"/>
      <c r="AE5" s="66"/>
      <c r="AF5" s="22"/>
      <c r="AG5" s="22"/>
      <c r="AL5" s="54" t="s">
        <v>3</v>
      </c>
      <c r="AM5" s="67"/>
      <c r="AN5" s="67"/>
      <c r="AP5" s="67"/>
    </row>
    <row r="6" spans="2:54" ht="18.75" customHeight="1" x14ac:dyDescent="0.15">
      <c r="B6" s="230" t="s">
        <v>4</v>
      </c>
      <c r="C6" s="208">
        <f>IFERROR(INDEX(年齢階層×在院期間区分F3[#All],MATCH($AL6,年齢階層×在院期間区分F3[[#All],[行ラベル]],0),MATCH($AM$3,年齢階層×在院期間区分F3[#Headers],0)),0)+IFERROR(INDEX(年齢階層×在院期間区分F3[#All],MATCH($AL6,年齢階層×在院期間区分F3[[#All],[行ラベル]],0),MATCH($AN$3,年齢階層×在院期間区分F3[#Headers],0)),0)+IFERROR(INDEX(年齢階層×在院期間区分F3[#All],MATCH($AL6,年齢階層×在院期間区分F3[[#All],[行ラベル]],0),MATCH($AO$3,年齢階層×在院期間区分F3[#Headers],0)),0)+IFERROR(INDEX(年齢階層×在院期間区分F3[#All],MATCH($AL6,年齢階層×在院期間区分F3[[#All],[行ラベル]],0),MATCH($AP$3,年齢階層×在院期間区分F3[#Headers],0)),0)</f>
        <v>57</v>
      </c>
      <c r="D6" s="209">
        <f t="shared" si="0"/>
        <v>6.2913907284768214E-2</v>
      </c>
      <c r="E6" s="208">
        <f>IFERROR(INDEX(年齢階層×在院期間区分F3[#All],MATCH($AL6,年齢階層×在院期間区分F3[[#All],[行ラベル]],0),MATCH($AQ$3,年齢階層×在院期間区分F3[#Headers],0)),0)+IFERROR(INDEX(年齢階層×在院期間区分F3[#All],MATCH($AL6,年齢階層×在院期間区分F3[[#All],[行ラベル]],0),MATCH($AR$3,年齢階層×在院期間区分F3[#Headers],0)),0)+IFERROR(INDEX(年齢階層×在院期間区分F3[#All],MATCH($AL6,年齢階層×在院期間区分F3[[#All],[行ラベル]],0),MATCH($AS$3,年齢階層×在院期間区分F3[#Headers],0)),0)+IFERROR(INDEX(年齢階層×在院期間区分F3[#All],MATCH($AL6,年齢階層×在院期間区分F3[[#All],[行ラベル]],0),MATCH($AT$3,年齢階層×在院期間区分F3[#Headers],0)),0)+IFERROR(INDEX(年齢階層×在院期間区分F3[#All],MATCH($AL6,年齢階層×在院期間区分F3[[#All],[行ラベル]],0),MATCH($AU$3,年齢階層×在院期間区分F3[#Headers],0)),0)</f>
        <v>2</v>
      </c>
      <c r="F6" s="209">
        <f t="shared" si="1"/>
        <v>4.8661800486618006E-3</v>
      </c>
      <c r="G6" s="208">
        <f>IFERROR(INDEX(年齢階層×在院期間区分F3[#All],MATCH($AL6,年齢階層×在院期間区分F3[[#All],[行ラベル]],0),MATCH($AV$3,年齢階層×在院期間区分F3[#Headers],0)),0)+IFERROR(INDEX(年齢階層×在院期間区分F3[#All],MATCH($AL6,年齢階層×在院期間区分F3[[#All],[行ラベル]],0),MATCH($AW$3,年齢階層×在院期間区分F3[#Headers],0)),0)+IFERROR(INDEX(年齢階層×在院期間区分F3[#All],MATCH($AL6,年齢階層×在院期間区分F3[[#All],[行ラベル]],0),MATCH($AX$3,年齢階層×在院期間区分F3[#Headers],0)),0)+IFERROR(INDEX(年齢階層×在院期間区分F3[#All],MATCH($AL6,年齢階層×在院期間区分F3[[#All],[行ラベル]],0),MATCH($AY$3,年齢階層×在院期間区分F3[#Headers],0)),0)+IFERROR(INDEX(年齢階層×在院期間区分F3[#All],MATCH($AL6,年齢階層×在院期間区分F3[[#All],[行ラベル]],0),MATCH($AZ$3,年齢階層×在院期間区分F3[#Headers],0)),0)</f>
        <v>0</v>
      </c>
      <c r="H6" s="209">
        <f t="shared" si="2"/>
        <v>0</v>
      </c>
      <c r="I6" s="231">
        <f>IFERROR(INDEX(年齢階層×在院期間区分F3[#All],MATCH($AL6,年齢階層×在院期間区分F3[[#All],[行ラベル]],0),MATCH($BA$3,年齢階層×在院期間区分F3[#Headers],0)),0)+IFERROR(INDEX(年齢階層×在院期間区分F3[#All],MATCH($AL6,年齢階層×在院期間区分F3[[#All],[行ラベル]],0),MATCH($BB$3,年齢階層×在院期間区分F3[#Headers],0)),0)</f>
        <v>1</v>
      </c>
      <c r="J6" s="209">
        <f t="shared" si="3"/>
        <v>1.4492753623188406E-2</v>
      </c>
      <c r="K6" s="208">
        <f t="shared" si="4"/>
        <v>60</v>
      </c>
      <c r="L6" s="209">
        <f t="shared" si="5"/>
        <v>3.9241334205362979E-2</v>
      </c>
      <c r="O6" s="54" t="s">
        <v>4</v>
      </c>
      <c r="P6" s="66">
        <v>22</v>
      </c>
      <c r="Q6" s="66">
        <v>29</v>
      </c>
      <c r="R6" s="66">
        <v>5</v>
      </c>
      <c r="S6" s="66">
        <v>1</v>
      </c>
      <c r="T6" s="66">
        <v>1</v>
      </c>
      <c r="U6" s="66"/>
      <c r="V6" s="66"/>
      <c r="W6" s="66">
        <v>1</v>
      </c>
      <c r="X6" s="66"/>
      <c r="Y6" s="66"/>
      <c r="Z6" s="66"/>
      <c r="AA6" s="66"/>
      <c r="AB6" s="66"/>
      <c r="AC6" s="66"/>
      <c r="AD6" s="66">
        <v>1</v>
      </c>
      <c r="AE6" s="66"/>
      <c r="AF6" s="22"/>
      <c r="AG6" s="22"/>
      <c r="AL6" s="54" t="s">
        <v>4</v>
      </c>
      <c r="AM6" s="67"/>
      <c r="AN6" s="67"/>
      <c r="AP6" s="67"/>
    </row>
    <row r="7" spans="2:54" ht="18.75" customHeight="1" x14ac:dyDescent="0.15">
      <c r="B7" s="230" t="s">
        <v>5</v>
      </c>
      <c r="C7" s="208">
        <f>IFERROR(INDEX(年齢階層×在院期間区分F3[#All],MATCH($AL7,年齢階層×在院期間区分F3[[#All],[行ラベル]],0),MATCH($AM$3,年齢階層×在院期間区分F3[#Headers],0)),0)+IFERROR(INDEX(年齢階層×在院期間区分F3[#All],MATCH($AL7,年齢階層×在院期間区分F3[[#All],[行ラベル]],0),MATCH($AN$3,年齢階層×在院期間区分F3[#Headers],0)),0)+IFERROR(INDEX(年齢階層×在院期間区分F3[#All],MATCH($AL7,年齢階層×在院期間区分F3[[#All],[行ラベル]],0),MATCH($AO$3,年齢階層×在院期間区分F3[#Headers],0)),0)+IFERROR(INDEX(年齢階層×在院期間区分F3[#All],MATCH($AL7,年齢階層×在院期間区分F3[[#All],[行ラベル]],0),MATCH($AP$3,年齢階層×在院期間区分F3[#Headers],0)),0)</f>
        <v>86</v>
      </c>
      <c r="D7" s="209">
        <f t="shared" si="0"/>
        <v>9.4922737306843266E-2</v>
      </c>
      <c r="E7" s="232">
        <f>IFERROR(INDEX(年齢階層×在院期間区分F3[#All],MATCH($AL7,年齢階層×在院期間区分F3[[#All],[行ラベル]],0),MATCH($AQ$3,年齢階層×在院期間区分F3[#Headers],0)),0)+IFERROR(INDEX(年齢階層×在院期間区分F3[#All],MATCH($AL7,年齢階層×在院期間区分F3[[#All],[行ラベル]],0),MATCH($AR$3,年齢階層×在院期間区分F3[#Headers],0)),0)+IFERROR(INDEX(年齢階層×在院期間区分F3[#All],MATCH($AL7,年齢階層×在院期間区分F3[[#All],[行ラベル]],0),MATCH($AS$3,年齢階層×在院期間区分F3[#Headers],0)),0)+IFERROR(INDEX(年齢階層×在院期間区分F3[#All],MATCH($AL7,年齢階層×在院期間区分F3[[#All],[行ラベル]],0),MATCH($AT$3,年齢階層×在院期間区分F3[#Headers],0)),0)+IFERROR(INDEX(年齢階層×在院期間区分F3[#All],MATCH($AL7,年齢階層×在院期間区分F3[[#All],[行ラベル]],0),MATCH($AU$3,年齢階層×在院期間区分F3[#Headers],0)),0)</f>
        <v>16</v>
      </c>
      <c r="F7" s="209">
        <f t="shared" si="1"/>
        <v>3.8929440389294405E-2</v>
      </c>
      <c r="G7" s="232">
        <f>IFERROR(INDEX(年齢階層×在院期間区分F3[#All],MATCH($AL7,年齢階層×在院期間区分F3[[#All],[行ラベル]],0),MATCH($AV$3,年齢階層×在院期間区分F3[#Headers],0)),0)+IFERROR(INDEX(年齢階層×在院期間区分F3[#All],MATCH($AL7,年齢階層×在院期間区分F3[[#All],[行ラベル]],0),MATCH($AW$3,年齢階層×在院期間区分F3[#Headers],0)),0)+IFERROR(INDEX(年齢階層×在院期間区分F3[#All],MATCH($AL7,年齢階層×在院期間区分F3[[#All],[行ラベル]],0),MATCH($AX$3,年齢階層×在院期間区分F3[#Headers],0)),0)+IFERROR(INDEX(年齢階層×在院期間区分F3[#All],MATCH($AL7,年齢階層×在院期間区分F3[[#All],[行ラベル]],0),MATCH($AY$3,年齢階層×在院期間区分F3[#Headers],0)),0)+IFERROR(INDEX(年齢階層×在院期間区分F3[#All],MATCH($AL7,年齢階層×在院期間区分F3[[#All],[行ラベル]],0),MATCH($AZ$3,年齢階層×在院期間区分F3[#Headers],0)),0)</f>
        <v>5</v>
      </c>
      <c r="H7" s="209">
        <f t="shared" si="2"/>
        <v>3.4965034965034968E-2</v>
      </c>
      <c r="I7" s="208">
        <f>IFERROR(INDEX(年齢階層×在院期間区分F3[#All],MATCH($AL7,年齢階層×在院期間区分F3[[#All],[行ラベル]],0),MATCH($BA$3,年齢階層×在院期間区分F3[#Headers],0)),0)+IFERROR(INDEX(年齢階層×在院期間区分F3[#All],MATCH($AL7,年齢階層×在院期間区分F3[[#All],[行ラベル]],0),MATCH($BB$3,年齢階層×在院期間区分F3[#Headers],0)),0)</f>
        <v>3</v>
      </c>
      <c r="J7" s="209">
        <f t="shared" si="3"/>
        <v>4.3478260869565216E-2</v>
      </c>
      <c r="K7" s="208">
        <f t="shared" si="4"/>
        <v>110</v>
      </c>
      <c r="L7" s="209">
        <f t="shared" si="5"/>
        <v>7.1942446043165464E-2</v>
      </c>
      <c r="O7" s="54" t="s">
        <v>5</v>
      </c>
      <c r="P7" s="66">
        <v>33</v>
      </c>
      <c r="Q7" s="66">
        <v>38</v>
      </c>
      <c r="R7" s="66">
        <v>7</v>
      </c>
      <c r="S7" s="66">
        <v>8</v>
      </c>
      <c r="T7" s="66">
        <v>4</v>
      </c>
      <c r="U7" s="66">
        <v>4</v>
      </c>
      <c r="V7" s="66">
        <v>4</v>
      </c>
      <c r="W7" s="66">
        <v>4</v>
      </c>
      <c r="X7" s="66"/>
      <c r="Y7" s="66">
        <v>2</v>
      </c>
      <c r="Z7" s="66">
        <v>2</v>
      </c>
      <c r="AA7" s="66"/>
      <c r="AB7" s="66">
        <v>1</v>
      </c>
      <c r="AC7" s="66"/>
      <c r="AD7" s="66">
        <v>2</v>
      </c>
      <c r="AE7" s="66">
        <v>1</v>
      </c>
      <c r="AF7" s="22"/>
      <c r="AG7" s="22"/>
      <c r="AL7" s="54" t="s">
        <v>5</v>
      </c>
      <c r="AM7" s="67"/>
      <c r="AN7" s="67"/>
      <c r="AP7" s="67"/>
    </row>
    <row r="8" spans="2:54" ht="18.75" customHeight="1" x14ac:dyDescent="0.15">
      <c r="B8" s="230" t="s">
        <v>6</v>
      </c>
      <c r="C8" s="232">
        <f>IFERROR(INDEX(年齢階層×在院期間区分F3[#All],MATCH($AL8,年齢階層×在院期間区分F3[[#All],[行ラベル]],0),MATCH($AM$3,年齢階層×在院期間区分F3[#Headers],0)),0)+IFERROR(INDEX(年齢階層×在院期間区分F3[#All],MATCH($AL8,年齢階層×在院期間区分F3[[#All],[行ラベル]],0),MATCH($AN$3,年齢階層×在院期間区分F3[#Headers],0)),0)+IFERROR(INDEX(年齢階層×在院期間区分F3[#All],MATCH($AL8,年齢階層×在院期間区分F3[[#All],[行ラベル]],0),MATCH($AO$3,年齢階層×在院期間区分F3[#Headers],0)),0)+IFERROR(INDEX(年齢階層×在院期間区分F3[#All],MATCH($AL8,年齢階層×在院期間区分F3[[#All],[行ラベル]],0),MATCH($AP$3,年齢階層×在院期間区分F3[#Headers],0)),0)</f>
        <v>133</v>
      </c>
      <c r="D8" s="209">
        <f t="shared" si="0"/>
        <v>0.14679911699779249</v>
      </c>
      <c r="E8" s="231">
        <f>IFERROR(INDEX(年齢階層×在院期間区分F3[#All],MATCH($AL8,年齢階層×在院期間区分F3[[#All],[行ラベル]],0),MATCH($AQ$3,年齢階層×在院期間区分F3[#Headers],0)),0)+IFERROR(INDEX(年齢階層×在院期間区分F3[#All],MATCH($AL8,年齢階層×在院期間区分F3[[#All],[行ラベル]],0),MATCH($AR$3,年齢階層×在院期間区分F3[#Headers],0)),0)+IFERROR(INDEX(年齢階層×在院期間区分F3[#All],MATCH($AL8,年齢階層×在院期間区分F3[[#All],[行ラベル]],0),MATCH($AS$3,年齢階層×在院期間区分F3[#Headers],0)),0)+IFERROR(INDEX(年齢階層×在院期間区分F3[#All],MATCH($AL8,年齢階層×在院期間区分F3[[#All],[行ラベル]],0),MATCH($AT$3,年齢階層×在院期間区分F3[#Headers],0)),0)+IFERROR(INDEX(年齢階層×在院期間区分F3[#All],MATCH($AL8,年齢階層×在院期間区分F3[[#All],[行ラベル]],0),MATCH($AU$3,年齢階層×在院期間区分F3[#Headers],0)),0)</f>
        <v>42</v>
      </c>
      <c r="F8" s="209">
        <f t="shared" si="1"/>
        <v>0.10218978102189781</v>
      </c>
      <c r="G8" s="208">
        <f>IFERROR(INDEX(年齢階層×在院期間区分F3[#All],MATCH($AL8,年齢階層×在院期間区分F3[[#All],[行ラベル]],0),MATCH($AV$3,年齢階層×在院期間区分F3[#Headers],0)),0)+IFERROR(INDEX(年齢階層×在院期間区分F3[#All],MATCH($AL8,年齢階層×在院期間区分F3[[#All],[行ラベル]],0),MATCH($AW$3,年齢階層×在院期間区分F3[#Headers],0)),0)+IFERROR(INDEX(年齢階層×在院期間区分F3[#All],MATCH($AL8,年齢階層×在院期間区分F3[[#All],[行ラベル]],0),MATCH($AX$3,年齢階層×在院期間区分F3[#Headers],0)),0)+IFERROR(INDEX(年齢階層×在院期間区分F3[#All],MATCH($AL8,年齢階層×在院期間区分F3[[#All],[行ラベル]],0),MATCH($AY$3,年齢階層×在院期間区分F3[#Headers],0)),0)+IFERROR(INDEX(年齢階層×在院期間区分F3[#All],MATCH($AL8,年齢階層×在院期間区分F3[[#All],[行ラベル]],0),MATCH($AZ$3,年齢階層×在院期間区分F3[#Headers],0)),0)</f>
        <v>18</v>
      </c>
      <c r="H8" s="209">
        <f t="shared" si="2"/>
        <v>0.12587412587412589</v>
      </c>
      <c r="I8" s="208">
        <f>IFERROR(INDEX(年齢階層×在院期間区分F3[#All],MATCH($AL8,年齢階層×在院期間区分F3[[#All],[行ラベル]],0),MATCH($BA$3,年齢階層×在院期間区分F3[#Headers],0)),0)+IFERROR(INDEX(年齢階層×在院期間区分F3[#All],MATCH($AL8,年齢階層×在院期間区分F3[[#All],[行ラベル]],0),MATCH($BB$3,年齢階層×在院期間区分F3[#Headers],0)),0)</f>
        <v>3</v>
      </c>
      <c r="J8" s="209">
        <f t="shared" si="3"/>
        <v>4.3478260869565216E-2</v>
      </c>
      <c r="K8" s="208">
        <f t="shared" si="4"/>
        <v>196</v>
      </c>
      <c r="L8" s="209">
        <f t="shared" si="5"/>
        <v>0.12818835840418574</v>
      </c>
      <c r="O8" s="54" t="s">
        <v>6</v>
      </c>
      <c r="P8" s="66">
        <v>35</v>
      </c>
      <c r="Q8" s="66">
        <v>65</v>
      </c>
      <c r="R8" s="66">
        <v>18</v>
      </c>
      <c r="S8" s="66">
        <v>15</v>
      </c>
      <c r="T8" s="66">
        <v>9</v>
      </c>
      <c r="U8" s="66">
        <v>6</v>
      </c>
      <c r="V8" s="66">
        <v>12</v>
      </c>
      <c r="W8" s="66">
        <v>8</v>
      </c>
      <c r="X8" s="66">
        <v>7</v>
      </c>
      <c r="Y8" s="66">
        <v>4</v>
      </c>
      <c r="Z8" s="66">
        <v>2</v>
      </c>
      <c r="AA8" s="66">
        <v>5</v>
      </c>
      <c r="AB8" s="66">
        <v>5</v>
      </c>
      <c r="AC8" s="66">
        <v>2</v>
      </c>
      <c r="AD8" s="66">
        <v>3</v>
      </c>
      <c r="AE8" s="66"/>
      <c r="AF8" s="22"/>
      <c r="AG8" s="22"/>
      <c r="AL8" s="54" t="s">
        <v>6</v>
      </c>
      <c r="AM8" s="67"/>
      <c r="AN8" s="67"/>
      <c r="AP8" s="67"/>
    </row>
    <row r="9" spans="2:54" ht="18.75" customHeight="1" x14ac:dyDescent="0.15">
      <c r="B9" s="230" t="s">
        <v>7</v>
      </c>
      <c r="C9" s="208">
        <f>IFERROR(INDEX(年齢階層×在院期間区分F3[#All],MATCH($AL9,年齢階層×在院期間区分F3[[#All],[行ラベル]],0),MATCH($AM$3,年齢階層×在院期間区分F3[#Headers],0)),0)+IFERROR(INDEX(年齢階層×在院期間区分F3[#All],MATCH($AL9,年齢階層×在院期間区分F3[[#All],[行ラベル]],0),MATCH($AN$3,年齢階層×在院期間区分F3[#Headers],0)),0)+IFERROR(INDEX(年齢階層×在院期間区分F3[#All],MATCH($AL9,年齢階層×在院期間区分F3[[#All],[行ラベル]],0),MATCH($AO$3,年齢階層×在院期間区分F3[#Headers],0)),0)+IFERROR(INDEX(年齢階層×在院期間区分F3[#All],MATCH($AL9,年齢階層×在院期間区分F3[[#All],[行ラベル]],0),MATCH($AP$3,年齢階層×在院期間区分F3[#Headers],0)),0)</f>
        <v>182</v>
      </c>
      <c r="D9" s="209">
        <f t="shared" si="0"/>
        <v>0.20088300220750552</v>
      </c>
      <c r="E9" s="208">
        <f>IFERROR(INDEX(年齢階層×在院期間区分F3[#All],MATCH($AL9,年齢階層×在院期間区分F3[[#All],[行ラベル]],0),MATCH($AQ$3,年齢階層×在院期間区分F3[#Headers],0)),0)+IFERROR(INDEX(年齢階層×在院期間区分F3[#All],MATCH($AL9,年齢階層×在院期間区分F3[[#All],[行ラベル]],0),MATCH($AR$3,年齢階層×在院期間区分F3[#Headers],0)),0)+IFERROR(INDEX(年齢階層×在院期間区分F3[#All],MATCH($AL9,年齢階層×在院期間区分F3[[#All],[行ラベル]],0),MATCH($AS$3,年齢階層×在院期間区分F3[#Headers],0)),0)+IFERROR(INDEX(年齢階層×在院期間区分F3[#All],MATCH($AL9,年齢階層×在院期間区分F3[[#All],[行ラベル]],0),MATCH($AT$3,年齢階層×在院期間区分F3[#Headers],0)),0)+IFERROR(INDEX(年齢階層×在院期間区分F3[#All],MATCH($AL9,年齢階層×在院期間区分F3[[#All],[行ラベル]],0),MATCH($AU$3,年齢階層×在院期間区分F3[#Headers],0)),0)</f>
        <v>75</v>
      </c>
      <c r="F9" s="209">
        <f t="shared" si="1"/>
        <v>0.18248175182481752</v>
      </c>
      <c r="G9" s="232">
        <f>IFERROR(INDEX(年齢階層×在院期間区分F3[#All],MATCH($AL9,年齢階層×在院期間区分F3[[#All],[行ラベル]],0),MATCH($AV$3,年齢階層×在院期間区分F3[#Headers],0)),0)+IFERROR(INDEX(年齢階層×在院期間区分F3[#All],MATCH($AL9,年齢階層×在院期間区分F3[[#All],[行ラベル]],0),MATCH($AW$3,年齢階層×在院期間区分F3[#Headers],0)),0)+IFERROR(INDEX(年齢階層×在院期間区分F3[#All],MATCH($AL9,年齢階層×在院期間区分F3[[#All],[行ラベル]],0),MATCH($AX$3,年齢階層×在院期間区分F3[#Headers],0)),0)+IFERROR(INDEX(年齢階層×在院期間区分F3[#All],MATCH($AL9,年齢階層×在院期間区分F3[[#All],[行ラベル]],0),MATCH($AY$3,年齢階層×在院期間区分F3[#Headers],0)),0)+IFERROR(INDEX(年齢階層×在院期間区分F3[#All],MATCH($AL9,年齢階層×在院期間区分F3[[#All],[行ラベル]],0),MATCH($AZ$3,年齢階層×在院期間区分F3[#Headers],0)),0)</f>
        <v>35</v>
      </c>
      <c r="H9" s="209">
        <f t="shared" si="2"/>
        <v>0.24475524475524477</v>
      </c>
      <c r="I9" s="232">
        <f>IFERROR(INDEX(年齢階層×在院期間区分F3[#All],MATCH($AL9,年齢階層×在院期間区分F3[[#All],[行ラベル]],0),MATCH($BA$3,年齢階層×在院期間区分F3[#Headers],0)),0)+IFERROR(INDEX(年齢階層×在院期間区分F3[#All],MATCH($AL9,年齢階層×在院期間区分F3[[#All],[行ラベル]],0),MATCH($BB$3,年齢階層×在院期間区分F3[#Headers],0)),0)</f>
        <v>8</v>
      </c>
      <c r="J9" s="209">
        <f t="shared" si="3"/>
        <v>0.11594202898550725</v>
      </c>
      <c r="K9" s="208">
        <f t="shared" si="4"/>
        <v>300</v>
      </c>
      <c r="L9" s="209">
        <f t="shared" si="5"/>
        <v>0.19620667102681491</v>
      </c>
      <c r="O9" s="54" t="s">
        <v>7</v>
      </c>
      <c r="P9" s="66">
        <v>66</v>
      </c>
      <c r="Q9" s="66">
        <v>56</v>
      </c>
      <c r="R9" s="66">
        <v>30</v>
      </c>
      <c r="S9" s="66">
        <v>30</v>
      </c>
      <c r="T9" s="66">
        <v>17</v>
      </c>
      <c r="U9" s="66">
        <v>14</v>
      </c>
      <c r="V9" s="66">
        <v>20</v>
      </c>
      <c r="W9" s="66">
        <v>18</v>
      </c>
      <c r="X9" s="66">
        <v>6</v>
      </c>
      <c r="Y9" s="66">
        <v>8</v>
      </c>
      <c r="Z9" s="66">
        <v>11</v>
      </c>
      <c r="AA9" s="66">
        <v>6</v>
      </c>
      <c r="AB9" s="66">
        <v>5</v>
      </c>
      <c r="AC9" s="66">
        <v>5</v>
      </c>
      <c r="AD9" s="66">
        <v>5</v>
      </c>
      <c r="AE9" s="66">
        <v>3</v>
      </c>
      <c r="AF9" s="22"/>
      <c r="AG9" s="22"/>
      <c r="AL9" s="54" t="s">
        <v>7</v>
      </c>
      <c r="AM9" s="67"/>
      <c r="AN9" s="67"/>
      <c r="AP9" s="67"/>
    </row>
    <row r="10" spans="2:54" ht="18.75" customHeight="1" x14ac:dyDescent="0.15">
      <c r="B10" s="230" t="s">
        <v>8</v>
      </c>
      <c r="C10" s="208">
        <f>IFERROR(INDEX(年齢階層×在院期間区分F3[#All],MATCH($AL10,年齢階層×在院期間区分F3[[#All],[行ラベル]],0),MATCH($AM$3,年齢階層×在院期間区分F3[#Headers],0)),0)+IFERROR(INDEX(年齢階層×在院期間区分F3[#All],MATCH($AL10,年齢階層×在院期間区分F3[[#All],[行ラベル]],0),MATCH($AN$3,年齢階層×在院期間区分F3[#Headers],0)),0)+IFERROR(INDEX(年齢階層×在院期間区分F3[#All],MATCH($AL10,年齢階層×在院期間区分F3[[#All],[行ラベル]],0),MATCH($AO$3,年齢階層×在院期間区分F3[#Headers],0)),0)+IFERROR(INDEX(年齢階層×在院期間区分F3[#All],MATCH($AL10,年齢階層×在院期間区分F3[[#All],[行ラベル]],0),MATCH($AP$3,年齢階層×在院期間区分F3[#Headers],0)),0)</f>
        <v>249</v>
      </c>
      <c r="D10" s="209">
        <f t="shared" si="0"/>
        <v>0.27483443708609273</v>
      </c>
      <c r="E10" s="232">
        <f>IFERROR(INDEX(年齢階層×在院期間区分F3[#All],MATCH($AL10,年齢階層×在院期間区分F3[[#All],[行ラベル]],0),MATCH($AQ$3,年齢階層×在院期間区分F3[#Headers],0)),0)+IFERROR(INDEX(年齢階層×在院期間区分F3[#All],MATCH($AL10,年齢階層×在院期間区分F3[[#All],[行ラベル]],0),MATCH($AR$3,年齢階層×在院期間区分F3[#Headers],0)),0)+IFERROR(INDEX(年齢階層×在院期間区分F3[#All],MATCH($AL10,年齢階層×在院期間区分F3[[#All],[行ラベル]],0),MATCH($AS$3,年齢階層×在院期間区分F3[#Headers],0)),0)+IFERROR(INDEX(年齢階層×在院期間区分F3[#All],MATCH($AL10,年齢階層×在院期間区分F3[[#All],[行ラベル]],0),MATCH($AT$3,年齢階層×在院期間区分F3[#Headers],0)),0)+IFERROR(INDEX(年齢階層×在院期間区分F3[#All],MATCH($AL10,年齢階層×在院期間区分F3[[#All],[行ラベル]],0),MATCH($AU$3,年齢階層×在院期間区分F3[#Headers],0)),0)</f>
        <v>159</v>
      </c>
      <c r="F10" s="209">
        <f t="shared" si="1"/>
        <v>0.38686131386861317</v>
      </c>
      <c r="G10" s="231">
        <f>IFERROR(INDEX(年齢階層×在院期間区分F3[#All],MATCH($AL10,年齢階層×在院期間区分F3[[#All],[行ラベル]],0),MATCH($AV$3,年齢階層×在院期間区分F3[#Headers],0)),0)+IFERROR(INDEX(年齢階層×在院期間区分F3[#All],MATCH($AL10,年齢階層×在院期間区分F3[[#All],[行ラベル]],0),MATCH($AW$3,年齢階層×在院期間区分F3[#Headers],0)),0)+IFERROR(INDEX(年齢階層×在院期間区分F3[#All],MATCH($AL10,年齢階層×在院期間区分F3[[#All],[行ラベル]],0),MATCH($AX$3,年齢階層×在院期間区分F3[#Headers],0)),0)+IFERROR(INDEX(年齢階層×在院期間区分F3[#All],MATCH($AL10,年齢階層×在院期間区分F3[[#All],[行ラベル]],0),MATCH($AY$3,年齢階層×在院期間区分F3[#Headers],0)),0)+IFERROR(INDEX(年齢階層×在院期間区分F3[#All],MATCH($AL10,年齢階層×在院期間区分F3[[#All],[行ラベル]],0),MATCH($AZ$3,年齢階層×在院期間区分F3[#Headers],0)),0)</f>
        <v>44</v>
      </c>
      <c r="H10" s="209">
        <f t="shared" si="2"/>
        <v>0.30769230769230771</v>
      </c>
      <c r="I10" s="208">
        <f>IFERROR(INDEX(年齢階層×在院期間区分F3[#All],MATCH($AL10,年齢階層×在院期間区分F3[[#All],[行ラベル]],0),MATCH($BA$3,年齢階層×在院期間区分F3[#Headers],0)),0)+IFERROR(INDEX(年齢階層×在院期間区分F3[#All],MATCH($AL10,年齢階層×在院期間区分F3[[#All],[行ラベル]],0),MATCH($BB$3,年齢階層×在院期間区分F3[#Headers],0)),0)</f>
        <v>31</v>
      </c>
      <c r="J10" s="209">
        <f t="shared" si="3"/>
        <v>0.44927536231884058</v>
      </c>
      <c r="K10" s="208">
        <f t="shared" si="4"/>
        <v>483</v>
      </c>
      <c r="L10" s="209">
        <f t="shared" si="5"/>
        <v>0.315892740353172</v>
      </c>
      <c r="O10" s="54" t="s">
        <v>8</v>
      </c>
      <c r="P10" s="66">
        <v>88</v>
      </c>
      <c r="Q10" s="66">
        <v>54</v>
      </c>
      <c r="R10" s="66">
        <v>55</v>
      </c>
      <c r="S10" s="66">
        <v>52</v>
      </c>
      <c r="T10" s="66">
        <v>41</v>
      </c>
      <c r="U10" s="66">
        <v>25</v>
      </c>
      <c r="V10" s="66">
        <v>39</v>
      </c>
      <c r="W10" s="66">
        <v>30</v>
      </c>
      <c r="X10" s="66">
        <v>24</v>
      </c>
      <c r="Y10" s="66">
        <v>12</v>
      </c>
      <c r="Z10" s="66">
        <v>10</v>
      </c>
      <c r="AA10" s="66">
        <v>8</v>
      </c>
      <c r="AB10" s="66">
        <v>9</v>
      </c>
      <c r="AC10" s="66">
        <v>5</v>
      </c>
      <c r="AD10" s="66">
        <v>29</v>
      </c>
      <c r="AE10" s="66">
        <v>2</v>
      </c>
      <c r="AF10" s="22"/>
      <c r="AG10" s="22"/>
      <c r="AL10" s="54" t="s">
        <v>8</v>
      </c>
      <c r="AM10" s="67"/>
      <c r="AN10" s="67"/>
      <c r="AP10" s="67"/>
    </row>
    <row r="11" spans="2:54" ht="18.75" customHeight="1" x14ac:dyDescent="0.15">
      <c r="B11" s="230" t="s">
        <v>9</v>
      </c>
      <c r="C11" s="208">
        <f>IFERROR(INDEX(年齢階層×在院期間区分F3[#All],MATCH($AL11,年齢階層×在院期間区分F3[[#All],[行ラベル]],0),MATCH($AM$3,年齢階層×在院期間区分F3[#Headers],0)),0)+IFERROR(INDEX(年齢階層×在院期間区分F3[#All],MATCH($AL11,年齢階層×在院期間区分F3[[#All],[行ラベル]],0),MATCH($AN$3,年齢階層×在院期間区分F3[#Headers],0)),0)+IFERROR(INDEX(年齢階層×在院期間区分F3[#All],MATCH($AL11,年齢階層×在院期間区分F3[[#All],[行ラベル]],0),MATCH($AO$3,年齢階層×在院期間区分F3[#Headers],0)),0)+IFERROR(INDEX(年齢階層×在院期間区分F3[#All],MATCH($AL11,年齢階層×在院期間区分F3[[#All],[行ラベル]],0),MATCH($AP$3,年齢階層×在院期間区分F3[#Headers],0)),0)</f>
        <v>125</v>
      </c>
      <c r="D11" s="209">
        <f t="shared" si="0"/>
        <v>0.13796909492273732</v>
      </c>
      <c r="E11" s="208">
        <f>IFERROR(INDEX(年齢階層×在院期間区分F3[#All],MATCH($AL11,年齢階層×在院期間区分F3[[#All],[行ラベル]],0),MATCH($AQ$3,年齢階層×在院期間区分F3[#Headers],0)),0)+IFERROR(INDEX(年齢階層×在院期間区分F3[#All],MATCH($AL11,年齢階層×在院期間区分F3[[#All],[行ラベル]],0),MATCH($AR$3,年齢階層×在院期間区分F3[#Headers],0)),0)+IFERROR(INDEX(年齢階層×在院期間区分F3[#All],MATCH($AL11,年齢階層×在院期間区分F3[[#All],[行ラベル]],0),MATCH($AS$3,年齢階層×在院期間区分F3[#Headers],0)),0)+IFERROR(INDEX(年齢階層×在院期間区分F3[#All],MATCH($AL11,年齢階層×在院期間区分F3[[#All],[行ラベル]],0),MATCH($AT$3,年齢階層×在院期間区分F3[#Headers],0)),0)+IFERROR(INDEX(年齢階層×在院期間区分F3[#All],MATCH($AL11,年齢階層×在院期間区分F3[[#All],[行ラベル]],0),MATCH($AU$3,年齢階層×在院期間区分F3[#Headers],0)),0)</f>
        <v>101</v>
      </c>
      <c r="F11" s="209">
        <f t="shared" si="1"/>
        <v>0.24574209245742093</v>
      </c>
      <c r="G11" s="231">
        <f>IFERROR(INDEX(年齢階層×在院期間区分F3[#All],MATCH($AL11,年齢階層×在院期間区分F3[[#All],[行ラベル]],0),MATCH($AV$3,年齢階層×在院期間区分F3[#Headers],0)),0)+IFERROR(INDEX(年齢階層×在院期間区分F3[#All],MATCH($AL11,年齢階層×在院期間区分F3[[#All],[行ラベル]],0),MATCH($AW$3,年齢階層×在院期間区分F3[#Headers],0)),0)+IFERROR(INDEX(年齢階層×在院期間区分F3[#All],MATCH($AL11,年齢階層×在院期間区分F3[[#All],[行ラベル]],0),MATCH($AX$3,年齢階層×在院期間区分F3[#Headers],0)),0)+IFERROR(INDEX(年齢階層×在院期間区分F3[#All],MATCH($AL11,年齢階層×在院期間区分F3[[#All],[行ラベル]],0),MATCH($AY$3,年齢階層×在院期間区分F3[#Headers],0)),0)+IFERROR(INDEX(年齢階層×在院期間区分F3[#All],MATCH($AL11,年齢階層×在院期間区分F3[[#All],[行ラベル]],0),MATCH($AZ$3,年齢階層×在院期間区分F3[#Headers],0)),0)</f>
        <v>35</v>
      </c>
      <c r="H11" s="209">
        <f t="shared" si="2"/>
        <v>0.24475524475524477</v>
      </c>
      <c r="I11" s="208">
        <f>IFERROR(INDEX(年齢階層×在院期間区分F3[#All],MATCH($AL11,年齢階層×在院期間区分F3[[#All],[行ラベル]],0),MATCH($BA$3,年齢階層×在院期間区分F3[#Headers],0)),0)+IFERROR(INDEX(年齢階層×在院期間区分F3[#All],MATCH($AL11,年齢階層×在院期間区分F3[[#All],[行ラベル]],0),MATCH($BB$3,年齢階層×在院期間区分F3[#Headers],0)),0)</f>
        <v>22</v>
      </c>
      <c r="J11" s="209">
        <f t="shared" si="3"/>
        <v>0.3188405797101449</v>
      </c>
      <c r="K11" s="208">
        <f t="shared" si="4"/>
        <v>283</v>
      </c>
      <c r="L11" s="209">
        <f t="shared" si="5"/>
        <v>0.18508829300196206</v>
      </c>
      <c r="O11" s="54" t="s">
        <v>9</v>
      </c>
      <c r="P11" s="66">
        <v>29</v>
      </c>
      <c r="Q11" s="66">
        <v>27</v>
      </c>
      <c r="R11" s="66">
        <v>31</v>
      </c>
      <c r="S11" s="66">
        <v>38</v>
      </c>
      <c r="T11" s="66">
        <v>20</v>
      </c>
      <c r="U11" s="66">
        <v>23</v>
      </c>
      <c r="V11" s="66">
        <v>25</v>
      </c>
      <c r="W11" s="66">
        <v>21</v>
      </c>
      <c r="X11" s="66">
        <v>12</v>
      </c>
      <c r="Y11" s="66">
        <v>7</v>
      </c>
      <c r="Z11" s="66">
        <v>11</v>
      </c>
      <c r="AA11" s="66">
        <v>10</v>
      </c>
      <c r="AB11" s="66">
        <v>5</v>
      </c>
      <c r="AC11" s="66">
        <v>2</v>
      </c>
      <c r="AD11" s="66">
        <v>18</v>
      </c>
      <c r="AE11" s="66">
        <v>4</v>
      </c>
      <c r="AF11" s="22"/>
      <c r="AG11" s="22"/>
      <c r="AL11" s="54" t="s">
        <v>9</v>
      </c>
      <c r="AM11" s="67"/>
      <c r="AN11" s="67"/>
      <c r="AP11" s="67"/>
    </row>
    <row r="12" spans="2:54" ht="18.75" customHeight="1" thickBot="1" x14ac:dyDescent="0.2">
      <c r="B12" s="233" t="s">
        <v>10</v>
      </c>
      <c r="C12" s="234">
        <f>IFERROR(INDEX(年齢階層×在院期間区分F3[#All],MATCH($AL12,年齢階層×在院期間区分F3[[#All],[行ラベル]],0),MATCH($AM$3,年齢階層×在院期間区分F3[#Headers],0)),0)+IFERROR(INDEX(年齢階層×在院期間区分F3[#All],MATCH($AL12,年齢階層×在院期間区分F3[[#All],[行ラベル]],0),MATCH($AN$3,年齢階層×在院期間区分F3[#Headers],0)),0)+IFERROR(INDEX(年齢階層×在院期間区分F3[#All],MATCH($AL12,年齢階層×在院期間区分F3[[#All],[行ラベル]],0),MATCH($AO$3,年齢階層×在院期間区分F3[#Headers],0)),0)+IFERROR(INDEX(年齢階層×在院期間区分F3[#All],MATCH($AL12,年齢階層×在院期間区分F3[[#All],[行ラベル]],0),MATCH($AP$3,年齢階層×在院期間区分F3[#Headers],0)),0)</f>
        <v>15</v>
      </c>
      <c r="D12" s="225">
        <f t="shared" si="0"/>
        <v>1.6556291390728478E-2</v>
      </c>
      <c r="E12" s="234">
        <f>IFERROR(INDEX(年齢階層×在院期間区分F3[#All],MATCH($AL12,年齢階層×在院期間区分F3[[#All],[行ラベル]],0),MATCH($AQ$3,年齢階層×在院期間区分F3[#Headers],0)),0)+IFERROR(INDEX(年齢階層×在院期間区分F3[#All],MATCH($AL12,年齢階層×在院期間区分F3[[#All],[行ラベル]],0),MATCH($AR$3,年齢階層×在院期間区分F3[#Headers],0)),0)+IFERROR(INDEX(年齢階層×在院期間区分F3[#All],MATCH($AL12,年齢階層×在院期間区分F3[[#All],[行ラベル]],0),MATCH($AS$3,年齢階層×在院期間区分F3[#Headers],0)),0)+IFERROR(INDEX(年齢階層×在院期間区分F3[#All],MATCH($AL12,年齢階層×在院期間区分F3[[#All],[行ラベル]],0),MATCH($AT$3,年齢階層×在院期間区分F3[#Headers],0)),0)+IFERROR(INDEX(年齢階層×在院期間区分F3[#All],MATCH($AL12,年齢階層×在院期間区分F3[[#All],[行ラベル]],0),MATCH($AU$3,年齢階層×在院期間区分F3[#Headers],0)),0)</f>
        <v>15</v>
      </c>
      <c r="F12" s="225">
        <f t="shared" si="1"/>
        <v>3.6496350364963501E-2</v>
      </c>
      <c r="G12" s="211">
        <f>IFERROR(INDEX(年齢階層×在院期間区分F3[#All],MATCH($AL12,年齢階層×在院期間区分F3[[#All],[行ラベル]],0),MATCH($AV$3,年齢階層×在院期間区分F3[#Headers],0)),0)+IFERROR(INDEX(年齢階層×在院期間区分F3[#All],MATCH($AL12,年齢階層×在院期間区分F3[[#All],[行ラベル]],0),MATCH($AW$3,年齢階層×在院期間区分F3[#Headers],0)),0)+IFERROR(INDEX(年齢階層×在院期間区分F3[#All],MATCH($AL12,年齢階層×在院期間区分F3[[#All],[行ラベル]],0),MATCH($AX$3,年齢階層×在院期間区分F3[#Headers],0)),0)+IFERROR(INDEX(年齢階層×在院期間区分F3[#All],MATCH($AL12,年齢階層×在院期間区分F3[[#All],[行ラベル]],0),MATCH($AY$3,年齢階層×在院期間区分F3[#Headers],0)),0)+IFERROR(INDEX(年齢階層×在院期間区分F3[#All],MATCH($AL12,年齢階層×在院期間区分F3[[#All],[行ラベル]],0),MATCH($AZ$3,年齢階層×在院期間区分F3[#Headers],0)),0)</f>
        <v>6</v>
      </c>
      <c r="H12" s="225">
        <f t="shared" si="2"/>
        <v>4.195804195804196E-2</v>
      </c>
      <c r="I12" s="234">
        <f>IFERROR(INDEX(年齢階層×在院期間区分F3[#All],MATCH($AL12,年齢階層×在院期間区分F3[[#All],[行ラベル]],0),MATCH($BA$3,年齢階層×在院期間区分F3[#Headers],0)),0)+IFERROR(INDEX(年齢階層×在院期間区分F3[#All],MATCH($AL12,年齢階層×在院期間区分F3[[#All],[行ラベル]],0),MATCH($BB$3,年齢階層×在院期間区分F3[#Headers],0)),0)</f>
        <v>1</v>
      </c>
      <c r="J12" s="225">
        <f t="shared" si="3"/>
        <v>1.4492753623188406E-2</v>
      </c>
      <c r="K12" s="211">
        <f t="shared" si="4"/>
        <v>37</v>
      </c>
      <c r="L12" s="225">
        <f t="shared" si="5"/>
        <v>2.4198822759973839E-2</v>
      </c>
      <c r="O12" s="54" t="s">
        <v>10</v>
      </c>
      <c r="P12" s="66">
        <v>4</v>
      </c>
      <c r="Q12" s="66">
        <v>6</v>
      </c>
      <c r="R12" s="66">
        <v>2</v>
      </c>
      <c r="S12" s="66">
        <v>3</v>
      </c>
      <c r="T12" s="66">
        <v>4</v>
      </c>
      <c r="U12" s="66">
        <v>6</v>
      </c>
      <c r="V12" s="66">
        <v>3</v>
      </c>
      <c r="W12" s="66">
        <v>2</v>
      </c>
      <c r="X12" s="66"/>
      <c r="Y12" s="66">
        <v>3</v>
      </c>
      <c r="Z12" s="66">
        <v>2</v>
      </c>
      <c r="AA12" s="66"/>
      <c r="AB12" s="66"/>
      <c r="AC12" s="66">
        <v>1</v>
      </c>
      <c r="AD12" s="66">
        <v>1</v>
      </c>
      <c r="AE12" s="66"/>
      <c r="AF12" s="22"/>
      <c r="AG12" s="22"/>
      <c r="AL12" s="54" t="s">
        <v>10</v>
      </c>
      <c r="AM12" s="67"/>
      <c r="AN12" s="67"/>
      <c r="AP12" s="67"/>
    </row>
    <row r="13" spans="2:54" ht="18.75" customHeight="1" thickTop="1" thickBot="1" x14ac:dyDescent="0.2">
      <c r="B13" s="235" t="s">
        <v>161</v>
      </c>
      <c r="C13" s="236">
        <f t="shared" ref="C13:L13" si="6">SUM(C4:C12)</f>
        <v>906</v>
      </c>
      <c r="D13" s="237">
        <f t="shared" si="6"/>
        <v>1.0000000000000002</v>
      </c>
      <c r="E13" s="236">
        <f t="shared" si="6"/>
        <v>411</v>
      </c>
      <c r="F13" s="237">
        <f t="shared" si="6"/>
        <v>1</v>
      </c>
      <c r="G13" s="236">
        <f t="shared" si="6"/>
        <v>143</v>
      </c>
      <c r="H13" s="237">
        <f t="shared" si="6"/>
        <v>1</v>
      </c>
      <c r="I13" s="236">
        <f t="shared" si="6"/>
        <v>69</v>
      </c>
      <c r="J13" s="237">
        <f t="shared" si="6"/>
        <v>1</v>
      </c>
      <c r="K13" s="236">
        <f t="shared" si="6"/>
        <v>1529</v>
      </c>
      <c r="L13" s="237">
        <f t="shared" si="6"/>
        <v>0.99999999999999989</v>
      </c>
      <c r="O13" s="429" t="s">
        <v>308</v>
      </c>
      <c r="P13" s="487" t="s">
        <v>182</v>
      </c>
      <c r="Q13" s="487" t="s">
        <v>183</v>
      </c>
      <c r="R13" s="487" t="s">
        <v>184</v>
      </c>
      <c r="S13" s="487" t="s">
        <v>185</v>
      </c>
      <c r="T13" s="487" t="s">
        <v>186</v>
      </c>
      <c r="U13" s="487" t="s">
        <v>187</v>
      </c>
      <c r="V13" s="487" t="s">
        <v>188</v>
      </c>
      <c r="W13" s="487" t="s">
        <v>189</v>
      </c>
      <c r="X13" s="487" t="s">
        <v>190</v>
      </c>
      <c r="Y13" s="487" t="s">
        <v>191</v>
      </c>
      <c r="Z13" s="487" t="s">
        <v>192</v>
      </c>
      <c r="AA13" s="487" t="s">
        <v>193</v>
      </c>
      <c r="AB13" s="487" t="s">
        <v>194</v>
      </c>
      <c r="AC13" s="487" t="s">
        <v>195</v>
      </c>
      <c r="AD13" s="487" t="s">
        <v>196</v>
      </c>
      <c r="AE13" s="486" t="s">
        <v>197</v>
      </c>
      <c r="AF13" s="22"/>
      <c r="AG13" s="22"/>
      <c r="AL13" s="81"/>
      <c r="AM13" s="67"/>
      <c r="AP13" s="67"/>
    </row>
    <row r="14" spans="2:54" ht="18.75" customHeight="1" thickTop="1" x14ac:dyDescent="0.15">
      <c r="B14" s="247" t="s">
        <v>93</v>
      </c>
      <c r="C14" s="248">
        <f>IFERROR(INDEX(年齢階層×在院期間区分F3_65歳未満以上[#All],MATCH($AL14,年齢階層×在院期間区分F3_65歳未満以上[[#All],[列1]],0),MATCH($AM$3,年齢階層×在院期間区分F3_65歳未満以上[#Headers],0)),0)+IFERROR(INDEX(年齢階層×在院期間区分F3_65歳未満以上[#All],MATCH($AL14,年齢階層×在院期間区分F3_65歳未満以上[[#All],[列1]],0),MATCH($AN$3,年齢階層×在院期間区分F3_65歳未満以上[#Headers],0)),0)+IFERROR(INDEX(年齢階層×在院期間区分F3_65歳未満以上[#All],MATCH($AL14,年齢階層×在院期間区分F3_65歳未満以上[[#All],[列1]],0),MATCH($AO$3,年齢階層×在院期間区分F3_65歳未満以上[#Headers],0)),0)+IFERROR(INDEX(年齢階層×在院期間区分F3_65歳未満以上[#All],MATCH($AL14,年齢階層×在院期間区分F3_65歳未満以上[[#All],[列1]],0),MATCH($AP$3,年齢階層×在院期間区分F3_65歳未満以上[#Headers],0)),0)</f>
        <v>419</v>
      </c>
      <c r="D14" s="210">
        <f>IFERROR(C14/$C$13,"-")</f>
        <v>0.46247240618101543</v>
      </c>
      <c r="E14" s="248">
        <f>IFERROR(INDEX(年齢階層×在院期間区分F3_65歳未満以上[#All],MATCH($AL14,年齢階層×在院期間区分F3_65歳未満以上[[#All],[列1]],0),MATCH($AQ$3,年齢階層×在院期間区分F3_65歳未満以上[#Headers],0)),0)+IFERROR(INDEX(年齢階層×在院期間区分F3_65歳未満以上[#All],MATCH($AL14,年齢階層×在院期間区分F3_65歳未満以上[[#All],[列1]],0),MATCH($AR$3,年齢階層×在院期間区分F3_65歳未満以上[#Headers],0)),0)+IFERROR(INDEX(年齢階層×在院期間区分F3_65歳未満以上[#All],MATCH($AL14,年齢階層×在院期間区分F3_65歳未満以上[[#All],[列1]],0),MATCH($AS$3,年齢階層×在院期間区分F3_65歳未満以上[#Headers],0)),0)+IFERROR(INDEX(年齢階層×在院期間区分F3_65歳未満以上[#All],MATCH($AL14,年齢階層×在院期間区分F3_65歳未満以上[[#All],[列1]],0),MATCH($AT$3,年齢階層×在院期間区分F3_65歳未満以上[#Headers],0)),0)+IFERROR(INDEX(年齢階層×在院期間区分F3_65歳未満以上[#All],MATCH($AL14,年齢階層×在院期間区分F3_65歳未満以上[[#All],[列1]],0),MATCH($AU$3,年齢階層×在院期間区分F3_65歳未満以上[#Headers],0)),0)</f>
        <v>97</v>
      </c>
      <c r="F14" s="210">
        <f>IFERROR(E14/$E$13,"-")</f>
        <v>0.23600973236009731</v>
      </c>
      <c r="G14" s="248">
        <f>IFERROR(INDEX(年齢階層×在院期間区分F3_65歳未満以上[#All],MATCH($AL14,年齢階層×在院期間区分F3_65歳未満以上[[#All],[列1]],0),MATCH($AV$3,年齢階層×在院期間区分F3_65歳未満以上[#Headers],0)),0)+IFERROR(INDEX(年齢階層×在院期間区分F3_65歳未満以上[#All],MATCH($AL14,年齢階層×在院期間区分F3_65歳未満以上[[#All],[列1]],0),MATCH($AW$3,年齢階層×在院期間区分F3_65歳未満以上[#Headers],0)),0)+IFERROR(INDEX(年齢階層×在院期間区分F3_65歳未満以上[#All],MATCH($AL14,年齢階層×在院期間区分F3_65歳未満以上[[#All],[列1]],0),MATCH($AX$3,年齢階層×在院期間区分F3_65歳未満以上[#Headers],0)),0)+IFERROR(INDEX(年齢階層×在院期間区分F3_65歳未満以上[#All],MATCH($AL14,年齢階層×在院期間区分F3_65歳未満以上[[#All],[列1]],0),MATCH($AY$3,年齢階層×在院期間区分F3_65歳未満以上[#Headers],0)),0)+IFERROR(INDEX(年齢階層×在院期間区分F3_65歳未満以上[#All],MATCH($AL14,年齢階層×在院期間区分F3_65歳未満以上[[#All],[列1]],0),MATCH($AZ$3,年齢階層×在院期間区分F3_65歳未満以上[#Headers],0)),0)</f>
        <v>42</v>
      </c>
      <c r="H14" s="210">
        <f>IFERROR(G14/$G$13,"-")</f>
        <v>0.2937062937062937</v>
      </c>
      <c r="I14" s="248">
        <f>IFERROR(INDEX(年齢階層×在院期間区分F3_65歳未満以上[#All],MATCH($AL14,年齢階層×在院期間区分F3_65歳未満以上[[#All],[列1]],0),MATCH($BA$3,年齢階層×在院期間区分F3_65歳未満以上[#Headers],0)),0)+IFERROR(INDEX(年齢階層×在院期間区分F3_65歳未満以上[#All],MATCH($AL14,年齢階層×在院期間区分F3_65歳未満以上[[#All],[列1]],0),MATCH($BB$3,年齢階層×在院期間区分F3_65歳未満以上[#Headers],0)),0)</f>
        <v>10</v>
      </c>
      <c r="J14" s="210">
        <f>IFERROR(I14/$I$13,"-")</f>
        <v>0.14492753623188406</v>
      </c>
      <c r="K14" s="248">
        <f>SUM(C14,E14,G14,I14)</f>
        <v>568</v>
      </c>
      <c r="L14" s="210">
        <f>IFERROR(K14/$K$13,"-")</f>
        <v>0.37148463047743624</v>
      </c>
      <c r="O14" s="54" t="s">
        <v>307</v>
      </c>
      <c r="P14" s="66">
        <v>116</v>
      </c>
      <c r="Q14" s="66">
        <v>153</v>
      </c>
      <c r="R14" s="66">
        <v>109</v>
      </c>
      <c r="S14" s="66">
        <v>109</v>
      </c>
      <c r="T14" s="66">
        <v>76</v>
      </c>
      <c r="U14" s="66">
        <v>61</v>
      </c>
      <c r="V14" s="66">
        <v>78</v>
      </c>
      <c r="W14" s="66">
        <v>60</v>
      </c>
      <c r="X14" s="66">
        <v>39</v>
      </c>
      <c r="Y14" s="66">
        <v>23</v>
      </c>
      <c r="Z14" s="66">
        <v>29</v>
      </c>
      <c r="AA14" s="66">
        <v>22</v>
      </c>
      <c r="AB14" s="66">
        <v>17</v>
      </c>
      <c r="AC14" s="66">
        <v>10</v>
      </c>
      <c r="AD14" s="66">
        <v>52</v>
      </c>
      <c r="AE14" s="66">
        <v>7</v>
      </c>
      <c r="AF14" s="22"/>
      <c r="AG14" s="22"/>
      <c r="AL14" s="83" t="s">
        <v>156</v>
      </c>
    </row>
    <row r="15" spans="2:54" ht="18.75" customHeight="1" x14ac:dyDescent="0.15">
      <c r="B15" s="249" t="s">
        <v>89</v>
      </c>
      <c r="C15" s="248">
        <f>IFERROR(INDEX(年齢階層×在院期間区分F3_65歳未満以上[#All],MATCH($AL15,年齢階層×在院期間区分F3_65歳未満以上[[#All],[列1]],0),MATCH($AM$3,年齢階層×在院期間区分F3_65歳未満以上[#Headers],0)),0)+IFERROR(INDEX(年齢階層×在院期間区分F3_65歳未満以上[#All],MATCH($AL15,年齢階層×在院期間区分F3_65歳未満以上[[#All],[列1]],0),MATCH($AN$3,年齢階層×在院期間区分F3_65歳未満以上[#Headers],0)),0)+IFERROR(INDEX(年齢階層×在院期間区分F3_65歳未満以上[#All],MATCH($AL15,年齢階層×在院期間区分F3_65歳未満以上[[#All],[列1]],0),MATCH($AO$3,年齢階層×在院期間区分F3_65歳未満以上[#Headers],0)),0)+IFERROR(INDEX(年齢階層×在院期間区分F3_65歳未満以上[#All],MATCH($AL15,年齢階層×在院期間区分F3_65歳未満以上[[#All],[列1]],0),MATCH($AP$3,年齢階層×在院期間区分F3_65歳未満以上[#Headers],0)),0)</f>
        <v>487</v>
      </c>
      <c r="D15" s="241">
        <f>IFERROR(C15/$C$13,"-")</f>
        <v>0.53752759381898452</v>
      </c>
      <c r="E15" s="248">
        <f>IFERROR(INDEX(年齢階層×在院期間区分F3_65歳未満以上[#All],MATCH($AL15,年齢階層×在院期間区分F3_65歳未満以上[[#All],[列1]],0),MATCH($AQ$3,年齢階層×在院期間区分F3_65歳未満以上[#Headers],0)),0)+IFERROR(INDEX(年齢階層×在院期間区分F3_65歳未満以上[#All],MATCH($AL15,年齢階層×在院期間区分F3_65歳未満以上[[#All],[列1]],0),MATCH($AR$3,年齢階層×在院期間区分F3_65歳未満以上[#Headers],0)),0)+IFERROR(INDEX(年齢階層×在院期間区分F3_65歳未満以上[#All],MATCH($AL15,年齢階層×在院期間区分F3_65歳未満以上[[#All],[列1]],0),MATCH($AS$3,年齢階層×在院期間区分F3_65歳未満以上[#Headers],0)),0)+IFERROR(INDEX(年齢階層×在院期間区分F3_65歳未満以上[#All],MATCH($AL15,年齢階層×在院期間区分F3_65歳未満以上[[#All],[列1]],0),MATCH($AT$3,年齢階層×在院期間区分F3_65歳未満以上[#Headers],0)),0)+IFERROR(INDEX(年齢階層×在院期間区分F3_65歳未満以上[#All],MATCH($AL15,年齢階層×在院期間区分F3_65歳未満以上[[#All],[列1]],0),MATCH($AU$3,年齢階層×在院期間区分F3_65歳未満以上[#Headers],0)),0)</f>
        <v>314</v>
      </c>
      <c r="F15" s="241">
        <f>IFERROR(E15/$E$13,"-")</f>
        <v>0.76399026763990263</v>
      </c>
      <c r="G15" s="248">
        <f>IFERROR(INDEX(年齢階層×在院期間区分F3_65歳未満以上[#All],MATCH($AL15,年齢階層×在院期間区分F3_65歳未満以上[[#All],[列1]],0),MATCH($AV$3,年齢階層×在院期間区分F3_65歳未満以上[#Headers],0)),0)+IFERROR(INDEX(年齢階層×在院期間区分F3_65歳未満以上[#All],MATCH($AL15,年齢階層×在院期間区分F3_65歳未満以上[[#All],[列1]],0),MATCH($AW$3,年齢階層×在院期間区分F3_65歳未満以上[#Headers],0)),0)+IFERROR(INDEX(年齢階層×在院期間区分F3_65歳未満以上[#All],MATCH($AL15,年齢階層×在院期間区分F3_65歳未満以上[[#All],[列1]],0),MATCH($AX$3,年齢階層×在院期間区分F3_65歳未満以上[#Headers],0)),0)+IFERROR(INDEX(年齢階層×在院期間区分F3_65歳未満以上[#All],MATCH($AL15,年齢階層×在院期間区分F3_65歳未満以上[[#All],[列1]],0),MATCH($AY$3,年齢階層×在院期間区分F3_65歳未満以上[#Headers],0)),0)+IFERROR(INDEX(年齢階層×在院期間区分F3_65歳未満以上[#All],MATCH($AL15,年齢階層×在院期間区分F3_65歳未満以上[[#All],[列1]],0),MATCH($AZ$3,年齢階層×在院期間区分F3_65歳未満以上[#Headers],0)),0)</f>
        <v>101</v>
      </c>
      <c r="H15" s="241">
        <f>IFERROR(G15/$G$13,"-")</f>
        <v>0.70629370629370625</v>
      </c>
      <c r="I15" s="248">
        <f>IFERROR(INDEX(年齢階層×在院期間区分F3_65歳未満以上[#All],MATCH($AL15,年齢階層×在院期間区分F3_65歳未満以上[[#All],[列1]],0),MATCH($BA$3,年齢階層×在院期間区分F3_65歳未満以上[#Headers],0)),0)+IFERROR(INDEX(年齢階層×在院期間区分F3_65歳未満以上[#All],MATCH($AL15,年齢階層×在院期間区分F3_65歳未満以上[[#All],[列1]],0),MATCH($BB$3,年齢階層×在院期間区分F3_65歳未満以上[#Headers],0)),0)</f>
        <v>59</v>
      </c>
      <c r="J15" s="241">
        <f>IFERROR(I15/$I13,"-")</f>
        <v>0.85507246376811596</v>
      </c>
      <c r="K15" s="248">
        <f>C15+E15+G15+I15</f>
        <v>961</v>
      </c>
      <c r="L15" s="241">
        <f>IFERROR(K15/$K$13,"-")</f>
        <v>0.62851536952256382</v>
      </c>
      <c r="O15" s="83" t="s">
        <v>306</v>
      </c>
      <c r="P15" s="66">
        <v>194</v>
      </c>
      <c r="Q15" s="66">
        <v>141</v>
      </c>
      <c r="R15" s="66">
        <v>46</v>
      </c>
      <c r="S15" s="66">
        <v>38</v>
      </c>
      <c r="T15" s="66">
        <v>21</v>
      </c>
      <c r="U15" s="66">
        <v>17</v>
      </c>
      <c r="V15" s="66">
        <v>25</v>
      </c>
      <c r="W15" s="66">
        <v>24</v>
      </c>
      <c r="X15" s="66">
        <v>10</v>
      </c>
      <c r="Y15" s="66">
        <v>13</v>
      </c>
      <c r="Z15" s="66">
        <v>9</v>
      </c>
      <c r="AA15" s="66">
        <v>7</v>
      </c>
      <c r="AB15" s="66">
        <v>8</v>
      </c>
      <c r="AC15" s="66">
        <v>5</v>
      </c>
      <c r="AD15" s="66">
        <v>7</v>
      </c>
      <c r="AE15" s="66">
        <v>3</v>
      </c>
      <c r="AF15" s="22"/>
      <c r="AG15" s="22"/>
      <c r="AL15" s="83" t="s">
        <v>88</v>
      </c>
    </row>
    <row r="16" spans="2:54" ht="18.75" customHeight="1" x14ac:dyDescent="0.15"/>
    <row r="17" spans="2:54" ht="18.75" customHeight="1" x14ac:dyDescent="0.15">
      <c r="B17" s="2" t="s">
        <v>158</v>
      </c>
    </row>
    <row r="18" spans="2:54" ht="18.75" customHeight="1" thickBot="1" x14ac:dyDescent="0.2">
      <c r="B18" s="714" t="s">
        <v>65</v>
      </c>
      <c r="C18" s="716" t="s">
        <v>64</v>
      </c>
      <c r="D18" s="717"/>
      <c r="E18" s="717"/>
      <c r="F18" s="717"/>
      <c r="G18" s="717"/>
      <c r="H18" s="717"/>
      <c r="I18" s="717"/>
      <c r="J18" s="717"/>
      <c r="K18" s="717"/>
      <c r="L18" s="718"/>
      <c r="O18" s="34" t="s">
        <v>63</v>
      </c>
    </row>
    <row r="19" spans="2:54" ht="18.75" customHeight="1" thickTop="1" thickBot="1" x14ac:dyDescent="0.2">
      <c r="B19" s="715"/>
      <c r="C19" s="719" t="s">
        <v>69</v>
      </c>
      <c r="D19" s="720"/>
      <c r="E19" s="719" t="s">
        <v>70</v>
      </c>
      <c r="F19" s="720"/>
      <c r="G19" s="719" t="s">
        <v>71</v>
      </c>
      <c r="H19" s="720"/>
      <c r="I19" s="719" t="s">
        <v>72</v>
      </c>
      <c r="J19" s="720"/>
      <c r="K19" s="719" t="s">
        <v>62</v>
      </c>
      <c r="L19" s="720"/>
      <c r="O19" s="429" t="s">
        <v>370</v>
      </c>
      <c r="P19" s="487" t="s">
        <v>183</v>
      </c>
      <c r="Q19" s="487" t="s">
        <v>182</v>
      </c>
      <c r="R19" s="487" t="s">
        <v>184</v>
      </c>
      <c r="S19" s="487" t="s">
        <v>185</v>
      </c>
      <c r="T19" s="487" t="s">
        <v>186</v>
      </c>
      <c r="U19" s="487" t="s">
        <v>187</v>
      </c>
      <c r="V19" s="487" t="s">
        <v>188</v>
      </c>
      <c r="W19" s="487" t="s">
        <v>189</v>
      </c>
      <c r="X19" s="487" t="s">
        <v>190</v>
      </c>
      <c r="Y19" s="487" t="s">
        <v>191</v>
      </c>
      <c r="Z19" s="487" t="s">
        <v>192</v>
      </c>
      <c r="AA19" s="487" t="s">
        <v>193</v>
      </c>
      <c r="AB19" s="487" t="s">
        <v>194</v>
      </c>
      <c r="AC19" s="487" t="s">
        <v>195</v>
      </c>
      <c r="AD19" s="487" t="s">
        <v>196</v>
      </c>
      <c r="AE19" s="486" t="s">
        <v>197</v>
      </c>
      <c r="AM19" s="486"/>
      <c r="AN19" s="487"/>
      <c r="AO19" s="487"/>
      <c r="AP19" s="487"/>
      <c r="AQ19" s="487"/>
      <c r="AR19" s="487"/>
      <c r="AS19" s="487"/>
      <c r="AT19" s="487"/>
      <c r="AU19" s="487"/>
      <c r="AV19" s="487"/>
      <c r="AW19" s="487"/>
      <c r="AX19" s="487"/>
      <c r="AY19" s="487"/>
      <c r="AZ19" s="487"/>
      <c r="BA19" s="487"/>
      <c r="BB19" s="486"/>
    </row>
    <row r="20" spans="2:54" ht="18.75" customHeight="1" thickTop="1" x14ac:dyDescent="0.15">
      <c r="B20" s="228" t="s">
        <v>2</v>
      </c>
      <c r="C20" s="223">
        <f>IFERROR(INDEX(年齢階層×在院期間区分F3＿寛解・院内寛解[#All],MATCH($AL20,年齢階層×在院期間区分F3＿寛解・院内寛解[[#All],[行ラベル]],0),MATCH($AM$3,年齢階層×在院期間区分F3＿寛解・院内寛解[#Headers],0)),0)+IFERROR(INDEX(年齢階層×在院期間区分F3＿寛解・院内寛解[#All],MATCH($AL20,年齢階層×在院期間区分F3＿寛解・院内寛解[[#All],[行ラベル]],0),MATCH($AN$3,年齢階層×在院期間区分F3＿寛解・院内寛解[#Headers],0)),0)+IFERROR(INDEX(年齢階層×在院期間区分F3＿寛解・院内寛解[#All],MATCH($AL20,年齢階層×在院期間区分F3＿寛解・院内寛解[[#All],[行ラベル]],0),MATCH($AO$3,年齢階層×在院期間区分F3＿寛解・院内寛解[#Headers],0)),0)+IFERROR(INDEX(年齢階層×在院期間区分F3＿寛解・院内寛解[#All],MATCH($AL20,年齢階層×在院期間区分F3＿寛解・院内寛解[[#All],[行ラベル]],0),MATCH($AP$3,年齢階層×在院期間区分F3＿寛解・院内寛解[#Headers],0)),0)</f>
        <v>9</v>
      </c>
      <c r="D20" s="242">
        <f t="shared" ref="D20:D28" si="7">IFERROR(C20/$C$29,"-")</f>
        <v>3.614457831325301E-2</v>
      </c>
      <c r="E20" s="229">
        <f>IFERROR(INDEX(年齢階層×在院期間区分F3＿寛解・院内寛解[#All],MATCH($AL20,年齢階層×在院期間区分F3＿寛解・院内寛解[[#All],[行ラベル]],0),MATCH($AQ$3,年齢階層×在院期間区分F3＿寛解・院内寛解[#Headers],0)),0)+IFERROR(INDEX(年齢階層×在院期間区分F3＿寛解・院内寛解[#All],MATCH($AL20,年齢階層×在院期間区分F3＿寛解・院内寛解[[#All],[行ラベル]],0),MATCH($AR$3,年齢階層×在院期間区分F3＿寛解・院内寛解[#Headers],0)),0)+IFERROR(INDEX(年齢階層×在院期間区分F3＿寛解・院内寛解[#All],MATCH($AL20,年齢階層×在院期間区分F3＿寛解・院内寛解[[#All],[行ラベル]],0),MATCH($AS$3,年齢階層×在院期間区分F3＿寛解・院内寛解[#Headers],0)),0)+IFERROR(INDEX(年齢階層×在院期間区分F3＿寛解・院内寛解[#All],MATCH($AL20,年齢階層×在院期間区分F3＿寛解・院内寛解[[#All],[行ラベル]],0),MATCH($AT$3,年齢階層×在院期間区分F3＿寛解・院内寛解[#Headers],0)),0)+IFERROR(INDEX(年齢階層×在院期間区分F3＿寛解・院内寛解[#All],MATCH($AL20,年齢階層×在院期間区分F3＿寛解・院内寛解[[#All],[行ラベル]],0),MATCH($AU$3,年齢階層×在院期間区分F3＿寛解・院内寛解[#Headers],0)),0)</f>
        <v>0</v>
      </c>
      <c r="F20" s="242">
        <f t="shared" ref="F20:F28" si="8">IFERROR(E20/$E$29,"-")</f>
        <v>0</v>
      </c>
      <c r="G20" s="223">
        <f>IFERROR(INDEX(年齢階層×在院期間区分F3＿寛解・院内寛解[#All],MATCH($AL20,年齢階層×在院期間区分F3＿寛解・院内寛解[[#All],[行ラベル]],0),MATCH($AV$3,年齢階層×在院期間区分F3＿寛解・院内寛解[#Headers],0)),0)+IFERROR(INDEX(年齢階層×在院期間区分F3＿寛解・院内寛解[#All],MATCH($AL20,年齢階層×在院期間区分F3＿寛解・院内寛解[[#All],[行ラベル]],0),MATCH($AW$3,年齢階層×在院期間区分F3＿寛解・院内寛解[#Headers],0)),0)+IFERROR(INDEX(年齢階層×在院期間区分F3＿寛解・院内寛解[#All],MATCH($AL20,年齢階層×在院期間区分F3＿寛解・院内寛解[[#All],[行ラベル]],0),MATCH($AX$3,年齢階層×在院期間区分F3＿寛解・院内寛解[#Headers],0)),0)+IFERROR(INDEX(年齢階層×在院期間区分F3＿寛解・院内寛解[#All],MATCH($AL20,年齢階層×在院期間区分F3＿寛解・院内寛解[[#All],[行ラベル]],0),MATCH($AY$3,年齢階層×在院期間区分F3＿寛解・院内寛解[#Headers],0)),0)+IFERROR(INDEX(年齢階層×在院期間区分F3＿寛解・院内寛解[#All],MATCH($AL20,年齢階層×在院期間区分F3＿寛解・院内寛解[[#All],[行ラベル]],0),MATCH($AZ$3,年齢階層×在院期間区分F3＿寛解・院内寛解[#Headers],0)),0)</f>
        <v>0</v>
      </c>
      <c r="H20" s="242">
        <f t="shared" ref="H20:H28" si="9">IFERROR(G20/$G$29,"-")</f>
        <v>0</v>
      </c>
      <c r="I20" s="223">
        <f>IFERROR(INDEX(年齢階層×在院期間区分F3＿寛解・院内寛解[#All],MATCH($AL20,年齢階層×在院期間区分F3＿寛解・院内寛解[[#All],[行ラベル]],0),MATCH($BA$3,年齢階層×在院期間区分F3＿寛解・院内寛解[#Headers],0)),0)+IFERROR(INDEX(年齢階層×在院期間区分F3＿寛解・院内寛解[#All],MATCH($AL20,年齢階層×在院期間区分F3＿寛解・院内寛解[[#All],[行ラベル]],0),MATCH($BB$3,年齢階層×在院期間区分F3＿寛解・院内寛解[#Headers],0)),0)</f>
        <v>0</v>
      </c>
      <c r="J20" s="242">
        <f t="shared" ref="J20:J28" si="10">IFERROR(I20/$I$29,"-")</f>
        <v>0</v>
      </c>
      <c r="K20" s="223">
        <f t="shared" ref="K20:K28" si="11">SUM(C20,E20,G20,I20)</f>
        <v>9</v>
      </c>
      <c r="L20" s="242">
        <f t="shared" ref="L20:L28" si="12">IFERROR(K20/$K$29,"-")</f>
        <v>2.7190332326283987E-2</v>
      </c>
      <c r="O20" s="54" t="s">
        <v>2</v>
      </c>
      <c r="P20" s="66">
        <v>2</v>
      </c>
      <c r="Q20" s="66">
        <v>5</v>
      </c>
      <c r="R20" s="66">
        <v>2</v>
      </c>
      <c r="S20" s="66"/>
      <c r="T20" s="66"/>
      <c r="U20" s="66"/>
      <c r="V20" s="66"/>
      <c r="W20" s="66"/>
      <c r="X20" s="66"/>
      <c r="Y20" s="66"/>
      <c r="Z20" s="66"/>
      <c r="AA20" s="66"/>
      <c r="AB20" s="66"/>
      <c r="AC20" s="66"/>
      <c r="AD20" s="66"/>
      <c r="AE20" s="66"/>
      <c r="AF20" s="22"/>
      <c r="AG20" s="22"/>
      <c r="AL20" s="54" t="s">
        <v>2</v>
      </c>
    </row>
    <row r="21" spans="2:54" ht="18.75" customHeight="1" x14ac:dyDescent="0.15">
      <c r="B21" s="230" t="s">
        <v>3</v>
      </c>
      <c r="C21" s="232">
        <f>IFERROR(INDEX(年齢階層×在院期間区分F3＿寛解・院内寛解[#All],MATCH($AL21,年齢階層×在院期間区分F3＿寛解・院内寛解[[#All],[行ラベル]],0),MATCH($AM$3,年齢階層×在院期間区分F3＿寛解・院内寛解[#Headers],0)),0)+IFERROR(INDEX(年齢階層×在院期間区分F3＿寛解・院内寛解[#All],MATCH($AL21,年齢階層×在院期間区分F3＿寛解・院内寛解[[#All],[行ラベル]],0),MATCH($AN$3,年齢階層×在院期間区分F3＿寛解・院内寛解[#Headers],0)),0)+IFERROR(INDEX(年齢階層×在院期間区分F3＿寛解・院内寛解[#All],MATCH($AL21,年齢階層×在院期間区分F3＿寛解・院内寛解[[#All],[行ラベル]],0),MATCH($AO$3,年齢階層×在院期間区分F3＿寛解・院内寛解[#Headers],0)),0)+IFERROR(INDEX(年齢階層×在院期間区分F3＿寛解・院内寛解[#All],MATCH($AL21,年齢階層×在院期間区分F3＿寛解・院内寛解[[#All],[行ラベル]],0),MATCH($AP$3,年齢階層×在院期間区分F3＿寛解・院内寛解[#Headers],0)),0)</f>
        <v>11</v>
      </c>
      <c r="D21" s="209">
        <f t="shared" si="7"/>
        <v>4.4176706827309238E-2</v>
      </c>
      <c r="E21" s="231">
        <f>IFERROR(INDEX(年齢階層×在院期間区分F3＿寛解・院内寛解[#All],MATCH($AL21,年齢階層×在院期間区分F3＿寛解・院内寛解[[#All],[行ラベル]],0),MATCH($AQ$3,年齢階層×在院期間区分F3＿寛解・院内寛解[#Headers],0)),0)+IFERROR(INDEX(年齢階層×在院期間区分F3＿寛解・院内寛解[#All],MATCH($AL21,年齢階層×在院期間区分F3＿寛解・院内寛解[[#All],[行ラベル]],0),MATCH($AR$3,年齢階層×在院期間区分F3＿寛解・院内寛解[#Headers],0)),0)+IFERROR(INDEX(年齢階層×在院期間区分F3＿寛解・院内寛解[#All],MATCH($AL21,年齢階層×在院期間区分F3＿寛解・院内寛解[[#All],[行ラベル]],0),MATCH($AS$3,年齢階層×在院期間区分F3＿寛解・院内寛解[#Headers],0)),0)+IFERROR(INDEX(年齢階層×在院期間区分F3＿寛解・院内寛解[#All],MATCH($AL21,年齢階層×在院期間区分F3＿寛解・院内寛解[[#All],[行ラベル]],0),MATCH($AT$3,年齢階層×在院期間区分F3＿寛解・院内寛解[#Headers],0)),0)+IFERROR(INDEX(年齢階層×在院期間区分F3＿寛解・院内寛解[#All],MATCH($AL21,年齢階層×在院期間区分F3＿寛解・院内寛解[[#All],[行ラベル]],0),MATCH($AU$3,年齢階層×在院期間区分F3＿寛解・院内寛解[#Headers],0)),0)</f>
        <v>0</v>
      </c>
      <c r="F21" s="209">
        <f t="shared" si="8"/>
        <v>0</v>
      </c>
      <c r="G21" s="232">
        <f>IFERROR(INDEX(年齢階層×在院期間区分F3＿寛解・院内寛解[#All],MATCH($AL21,年齢階層×在院期間区分F3＿寛解・院内寛解[[#All],[行ラベル]],0),MATCH($AV$3,年齢階層×在院期間区分F3＿寛解・院内寛解[#Headers],0)),0)+IFERROR(INDEX(年齢階層×在院期間区分F3＿寛解・院内寛解[#All],MATCH($AL21,年齢階層×在院期間区分F3＿寛解・院内寛解[[#All],[行ラベル]],0),MATCH($AW$3,年齢階層×在院期間区分F3＿寛解・院内寛解[#Headers],0)),0)+IFERROR(INDEX(年齢階層×在院期間区分F3＿寛解・院内寛解[#All],MATCH($AL21,年齢階層×在院期間区分F3＿寛解・院内寛解[[#All],[行ラベル]],0),MATCH($AX$3,年齢階層×在院期間区分F3＿寛解・院内寛解[#Headers],0)),0)+IFERROR(INDEX(年齢階層×在院期間区分F3＿寛解・院内寛解[#All],MATCH($AL21,年齢階層×在院期間区分F3＿寛解・院内寛解[[#All],[行ラベル]],0),MATCH($AY$3,年齢階層×在院期間区分F3＿寛解・院内寛解[#Headers],0)),0)+IFERROR(INDEX(年齢階層×在院期間区分F3＿寛解・院内寛解[#All],MATCH($AL21,年齢階層×在院期間区分F3＿寛解・院内寛解[[#All],[行ラベル]],0),MATCH($AZ$3,年齢階層×在院期間区分F3＿寛解・院内寛解[#Headers],0)),0)</f>
        <v>0</v>
      </c>
      <c r="H21" s="209">
        <f t="shared" si="9"/>
        <v>0</v>
      </c>
      <c r="I21" s="208">
        <f>IFERROR(INDEX(年齢階層×在院期間区分F3＿寛解・院内寛解[#All],MATCH($AL21,年齢階層×在院期間区分F3＿寛解・院内寛解[[#All],[行ラベル]],0),MATCH($BA$3,年齢階層×在院期間区分F3＿寛解・院内寛解[#Headers],0)),0)+IFERROR(INDEX(年齢階層×在院期間区分F3＿寛解・院内寛解[#All],MATCH($AL21,年齢階層×在院期間区分F3＿寛解・院内寛解[[#All],[行ラベル]],0),MATCH($BB$3,年齢階層×在院期間区分F3＿寛解・院内寛解[#Headers],0)),0)</f>
        <v>0</v>
      </c>
      <c r="J21" s="209">
        <f t="shared" si="10"/>
        <v>0</v>
      </c>
      <c r="K21" s="208">
        <f t="shared" si="11"/>
        <v>11</v>
      </c>
      <c r="L21" s="209">
        <f t="shared" si="12"/>
        <v>3.3232628398791542E-2</v>
      </c>
      <c r="O21" s="54" t="s">
        <v>3</v>
      </c>
      <c r="P21" s="66">
        <v>1</v>
      </c>
      <c r="Q21" s="66">
        <v>9</v>
      </c>
      <c r="R21" s="66">
        <v>1</v>
      </c>
      <c r="S21" s="66"/>
      <c r="T21" s="66"/>
      <c r="U21" s="66"/>
      <c r="V21" s="66"/>
      <c r="W21" s="66"/>
      <c r="X21" s="66"/>
      <c r="Y21" s="66"/>
      <c r="Z21" s="66"/>
      <c r="AA21" s="66"/>
      <c r="AB21" s="66"/>
      <c r="AC21" s="66"/>
      <c r="AD21" s="66"/>
      <c r="AE21" s="66"/>
      <c r="AF21" s="22"/>
      <c r="AG21" s="22"/>
      <c r="AL21" s="54" t="s">
        <v>3</v>
      </c>
    </row>
    <row r="22" spans="2:54" ht="18.75" customHeight="1" x14ac:dyDescent="0.15">
      <c r="B22" s="230" t="s">
        <v>4</v>
      </c>
      <c r="C22" s="231">
        <f>IFERROR(INDEX(年齢階層×在院期間区分F3＿寛解・院内寛解[#All],MATCH($AL22,年齢階層×在院期間区分F3＿寛解・院内寛解[[#All],[行ラベル]],0),MATCH($AM$3,年齢階層×在院期間区分F3＿寛解・院内寛解[#Headers],0)),0)+IFERROR(INDEX(年齢階層×在院期間区分F3＿寛解・院内寛解[#All],MATCH($AL22,年齢階層×在院期間区分F3＿寛解・院内寛解[[#All],[行ラベル]],0),MATCH($AN$3,年齢階層×在院期間区分F3＿寛解・院内寛解[#Headers],0)),0)+IFERROR(INDEX(年齢階層×在院期間区分F3＿寛解・院内寛解[#All],MATCH($AL22,年齢階層×在院期間区分F3＿寛解・院内寛解[[#All],[行ラベル]],0),MATCH($AO$3,年齢階層×在院期間区分F3＿寛解・院内寛解[#Headers],0)),0)+IFERROR(INDEX(年齢階層×在院期間区分F3＿寛解・院内寛解[#All],MATCH($AL22,年齢階層×在院期間区分F3＿寛解・院内寛解[[#All],[行ラベル]],0),MATCH($AP$3,年齢階層×在院期間区分F3＿寛解・院内寛解[#Headers],0)),0)</f>
        <v>20</v>
      </c>
      <c r="D22" s="209">
        <f t="shared" si="7"/>
        <v>8.0321285140562249E-2</v>
      </c>
      <c r="E22" s="231">
        <f>IFERROR(INDEX(年齢階層×在院期間区分F3＿寛解・院内寛解[#All],MATCH($AL22,年齢階層×在院期間区分F3＿寛解・院内寛解[[#All],[行ラベル]],0),MATCH($AQ$3,年齢階層×在院期間区分F3＿寛解・院内寛解[#Headers],0)),0)+IFERROR(INDEX(年齢階層×在院期間区分F3＿寛解・院内寛解[#All],MATCH($AL22,年齢階層×在院期間区分F3＿寛解・院内寛解[[#All],[行ラベル]],0),MATCH($AR$3,年齢階層×在院期間区分F3＿寛解・院内寛解[#Headers],0)),0)+IFERROR(INDEX(年齢階層×在院期間区分F3＿寛解・院内寛解[#All],MATCH($AL22,年齢階層×在院期間区分F3＿寛解・院内寛解[[#All],[行ラベル]],0),MATCH($AS$3,年齢階層×在院期間区分F3＿寛解・院内寛解[#Headers],0)),0)+IFERROR(INDEX(年齢階層×在院期間区分F3＿寛解・院内寛解[#All],MATCH($AL22,年齢階層×在院期間区分F3＿寛解・院内寛解[[#All],[行ラベル]],0),MATCH($AT$3,年齢階層×在院期間区分F3＿寛解・院内寛解[#Headers],0)),0)+IFERROR(INDEX(年齢階層×在院期間区分F3＿寛解・院内寛解[#All],MATCH($AL22,年齢階層×在院期間区分F3＿寛解・院内寛解[[#All],[行ラベル]],0),MATCH($AU$3,年齢階層×在院期間区分F3＿寛解・院内寛解[#Headers],0)),0)</f>
        <v>1</v>
      </c>
      <c r="F22" s="209">
        <f t="shared" si="8"/>
        <v>1.7857142857142856E-2</v>
      </c>
      <c r="G22" s="231">
        <f>IFERROR(INDEX(年齢階層×在院期間区分F3＿寛解・院内寛解[#All],MATCH($AL22,年齢階層×在院期間区分F3＿寛解・院内寛解[[#All],[行ラベル]],0),MATCH($AV$3,年齢階層×在院期間区分F3＿寛解・院内寛解[#Headers],0)),0)+IFERROR(INDEX(年齢階層×在院期間区分F3＿寛解・院内寛解[#All],MATCH($AL22,年齢階層×在院期間区分F3＿寛解・院内寛解[[#All],[行ラベル]],0),MATCH($AW$3,年齢階層×在院期間区分F3＿寛解・院内寛解[#Headers],0)),0)+IFERROR(INDEX(年齢階層×在院期間区分F3＿寛解・院内寛解[#All],MATCH($AL22,年齢階層×在院期間区分F3＿寛解・院内寛解[[#All],[行ラベル]],0),MATCH($AX$3,年齢階層×在院期間区分F3＿寛解・院内寛解[#Headers],0)),0)+IFERROR(INDEX(年齢階層×在院期間区分F3＿寛解・院内寛解[#All],MATCH($AL22,年齢階層×在院期間区分F3＿寛解・院内寛解[[#All],[行ラベル]],0),MATCH($AY$3,年齢階層×在院期間区分F3＿寛解・院内寛解[#Headers],0)),0)+IFERROR(INDEX(年齢階層×在院期間区分F3＿寛解・院内寛解[#All],MATCH($AL22,年齢階層×在院期間区分F3＿寛解・院内寛解[[#All],[行ラベル]],0),MATCH($AZ$3,年齢階層×在院期間区分F3＿寛解・院内寛解[#Headers],0)),0)</f>
        <v>0</v>
      </c>
      <c r="H22" s="209">
        <f t="shared" si="9"/>
        <v>0</v>
      </c>
      <c r="I22" s="232">
        <f>IFERROR(INDEX(年齢階層×在院期間区分F3＿寛解・院内寛解[#All],MATCH($AL22,年齢階層×在院期間区分F3＿寛解・院内寛解[[#All],[行ラベル]],0),MATCH($BA$3,年齢階層×在院期間区分F3＿寛解・院内寛解[#Headers],0)),0)+IFERROR(INDEX(年齢階層×在院期間区分F3＿寛解・院内寛解[#All],MATCH($AL22,年齢階層×在院期間区分F3＿寛解・院内寛解[[#All],[行ラベル]],0),MATCH($BB$3,年齢階層×在院期間区分F3＿寛解・院内寛解[#Headers],0)),0)</f>
        <v>0</v>
      </c>
      <c r="J22" s="209">
        <f t="shared" si="10"/>
        <v>0</v>
      </c>
      <c r="K22" s="208">
        <f t="shared" si="11"/>
        <v>21</v>
      </c>
      <c r="L22" s="209">
        <f t="shared" si="12"/>
        <v>6.3444108761329304E-2</v>
      </c>
      <c r="O22" s="54" t="s">
        <v>4</v>
      </c>
      <c r="P22" s="66">
        <v>7</v>
      </c>
      <c r="Q22" s="66">
        <v>10</v>
      </c>
      <c r="R22" s="66">
        <v>3</v>
      </c>
      <c r="S22" s="66"/>
      <c r="T22" s="66">
        <v>1</v>
      </c>
      <c r="U22" s="66"/>
      <c r="V22" s="66"/>
      <c r="W22" s="66"/>
      <c r="X22" s="66"/>
      <c r="Y22" s="66"/>
      <c r="Z22" s="66"/>
      <c r="AA22" s="66"/>
      <c r="AB22" s="66"/>
      <c r="AC22" s="66"/>
      <c r="AD22" s="66"/>
      <c r="AE22" s="66"/>
      <c r="AF22" s="22"/>
      <c r="AG22" s="22"/>
      <c r="AL22" s="54" t="s">
        <v>4</v>
      </c>
    </row>
    <row r="23" spans="2:54" ht="18.75" customHeight="1" x14ac:dyDescent="0.15">
      <c r="B23" s="230" t="s">
        <v>5</v>
      </c>
      <c r="C23" s="208">
        <f>IFERROR(INDEX(年齢階層×在院期間区分F3＿寛解・院内寛解[#All],MATCH($AL23,年齢階層×在院期間区分F3＿寛解・院内寛解[[#All],[行ラベル]],0),MATCH($AM$3,年齢階層×在院期間区分F3＿寛解・院内寛解[#Headers],0)),0)+IFERROR(INDEX(年齢階層×在院期間区分F3＿寛解・院内寛解[#All],MATCH($AL23,年齢階層×在院期間区分F3＿寛解・院内寛解[[#All],[行ラベル]],0),MATCH($AN$3,年齢階層×在院期間区分F3＿寛解・院内寛解[#Headers],0)),0)+IFERROR(INDEX(年齢階層×在院期間区分F3＿寛解・院内寛解[#All],MATCH($AL23,年齢階層×在院期間区分F3＿寛解・院内寛解[[#All],[行ラベル]],0),MATCH($AO$3,年齢階層×在院期間区分F3＿寛解・院内寛解[#Headers],0)),0)+IFERROR(INDEX(年齢階層×在院期間区分F3＿寛解・院内寛解[#All],MATCH($AL23,年齢階層×在院期間区分F3＿寛解・院内寛解[[#All],[行ラベル]],0),MATCH($AP$3,年齢階層×在院期間区分F3＿寛解・院内寛解[#Headers],0)),0)</f>
        <v>31</v>
      </c>
      <c r="D23" s="209">
        <f t="shared" si="7"/>
        <v>0.12449799196787148</v>
      </c>
      <c r="E23" s="208">
        <f>IFERROR(INDEX(年齢階層×在院期間区分F3＿寛解・院内寛解[#All],MATCH($AL23,年齢階層×在院期間区分F3＿寛解・院内寛解[[#All],[行ラベル]],0),MATCH($AQ$3,年齢階層×在院期間区分F3＿寛解・院内寛解[#Headers],0)),0)+IFERROR(INDEX(年齢階層×在院期間区分F3＿寛解・院内寛解[#All],MATCH($AL23,年齢階層×在院期間区分F3＿寛解・院内寛解[[#All],[行ラベル]],0),MATCH($AR$3,年齢階層×在院期間区分F3＿寛解・院内寛解[#Headers],0)),0)+IFERROR(INDEX(年齢階層×在院期間区分F3＿寛解・院内寛解[#All],MATCH($AL23,年齢階層×在院期間区分F3＿寛解・院内寛解[[#All],[行ラベル]],0),MATCH($AS$3,年齢階層×在院期間区分F3＿寛解・院内寛解[#Headers],0)),0)+IFERROR(INDEX(年齢階層×在院期間区分F3＿寛解・院内寛解[#All],MATCH($AL23,年齢階層×在院期間区分F3＿寛解・院内寛解[[#All],[行ラベル]],0),MATCH($AT$3,年齢階層×在院期間区分F3＿寛解・院内寛解[#Headers],0)),0)+IFERROR(INDEX(年齢階層×在院期間区分F3＿寛解・院内寛解[#All],MATCH($AL23,年齢階層×在院期間区分F3＿寛解・院内寛解[[#All],[行ラベル]],0),MATCH($AU$3,年齢階層×在院期間区分F3＿寛解・院内寛解[#Headers],0)),0)</f>
        <v>4</v>
      </c>
      <c r="F23" s="209">
        <f t="shared" si="8"/>
        <v>7.1428571428571425E-2</v>
      </c>
      <c r="G23" s="208">
        <f>IFERROR(INDEX(年齢階層×在院期間区分F3＿寛解・院内寛解[#All],MATCH($AL23,年齢階層×在院期間区分F3＿寛解・院内寛解[[#All],[行ラベル]],0),MATCH($AV$3,年齢階層×在院期間区分F3＿寛解・院内寛解[#Headers],0)),0)+IFERROR(INDEX(年齢階層×在院期間区分F3＿寛解・院内寛解[#All],MATCH($AL23,年齢階層×在院期間区分F3＿寛解・院内寛解[[#All],[行ラベル]],0),MATCH($AW$3,年齢階層×在院期間区分F3＿寛解・院内寛解[#Headers],0)),0)+IFERROR(INDEX(年齢階層×在院期間区分F3＿寛解・院内寛解[#All],MATCH($AL23,年齢階層×在院期間区分F3＿寛解・院内寛解[[#All],[行ラベル]],0),MATCH($AX$3,年齢階層×在院期間区分F3＿寛解・院内寛解[#Headers],0)),0)+IFERROR(INDEX(年齢階層×在院期間区分F3＿寛解・院内寛解[#All],MATCH($AL23,年齢階層×在院期間区分F3＿寛解・院内寛解[[#All],[行ラベル]],0),MATCH($AY$3,年齢階層×在院期間区分F3＿寛解・院内寛解[#Headers],0)),0)+IFERROR(INDEX(年齢階層×在院期間区分F3＿寛解・院内寛解[#All],MATCH($AL23,年齢階層×在院期間区分F3＿寛解・院内寛解[[#All],[行ラベル]],0),MATCH($AZ$3,年齢階層×在院期間区分F3＿寛解・院内寛解[#Headers],0)),0)</f>
        <v>2</v>
      </c>
      <c r="H23" s="209">
        <f t="shared" si="9"/>
        <v>0.11764705882352941</v>
      </c>
      <c r="I23" s="208">
        <f>IFERROR(INDEX(年齢階層×在院期間区分F3＿寛解・院内寛解[#All],MATCH($AL23,年齢階層×在院期間区分F3＿寛解・院内寛解[[#All],[行ラベル]],0),MATCH($BA$3,年齢階層×在院期間区分F3＿寛解・院内寛解[#Headers],0)),0)+IFERROR(INDEX(年齢階層×在院期間区分F3＿寛解・院内寛解[#All],MATCH($AL23,年齢階層×在院期間区分F3＿寛解・院内寛解[[#All],[行ラベル]],0),MATCH($BB$3,年齢階層×在院期間区分F3＿寛解・院内寛解[#Headers],0)),0)</f>
        <v>0</v>
      </c>
      <c r="J23" s="209">
        <f t="shared" si="10"/>
        <v>0</v>
      </c>
      <c r="K23" s="208">
        <f t="shared" si="11"/>
        <v>37</v>
      </c>
      <c r="L23" s="209">
        <f t="shared" si="12"/>
        <v>0.11178247734138973</v>
      </c>
      <c r="O23" s="54" t="s">
        <v>5</v>
      </c>
      <c r="P23" s="66">
        <v>14</v>
      </c>
      <c r="Q23" s="66">
        <v>14</v>
      </c>
      <c r="R23" s="66">
        <v>1</v>
      </c>
      <c r="S23" s="66">
        <v>2</v>
      </c>
      <c r="T23" s="66">
        <v>1</v>
      </c>
      <c r="U23" s="66">
        <v>2</v>
      </c>
      <c r="V23" s="66">
        <v>1</v>
      </c>
      <c r="W23" s="66"/>
      <c r="X23" s="66"/>
      <c r="Y23" s="66">
        <v>1</v>
      </c>
      <c r="Z23" s="66">
        <v>1</v>
      </c>
      <c r="AA23" s="66"/>
      <c r="AB23" s="66"/>
      <c r="AC23" s="66"/>
      <c r="AD23" s="66"/>
      <c r="AE23" s="66"/>
      <c r="AF23" s="22"/>
      <c r="AG23" s="22"/>
      <c r="AL23" s="54" t="s">
        <v>5</v>
      </c>
    </row>
    <row r="24" spans="2:54" ht="18.75" customHeight="1" x14ac:dyDescent="0.15">
      <c r="B24" s="230" t="s">
        <v>6</v>
      </c>
      <c r="C24" s="208">
        <f>IFERROR(INDEX(年齢階層×在院期間区分F3＿寛解・院内寛解[#All],MATCH($AL24,年齢階層×在院期間区分F3＿寛解・院内寛解[[#All],[行ラベル]],0),MATCH($AM$3,年齢階層×在院期間区分F3＿寛解・院内寛解[#Headers],0)),0)+IFERROR(INDEX(年齢階層×在院期間区分F3＿寛解・院内寛解[#All],MATCH($AL24,年齢階層×在院期間区分F3＿寛解・院内寛解[[#All],[行ラベル]],0),MATCH($AN$3,年齢階層×在院期間区分F3＿寛解・院内寛解[#Headers],0)),0)+IFERROR(INDEX(年齢階層×在院期間区分F3＿寛解・院内寛解[#All],MATCH($AL24,年齢階層×在院期間区分F3＿寛解・院内寛解[[#All],[行ラベル]],0),MATCH($AO$3,年齢階層×在院期間区分F3＿寛解・院内寛解[#Headers],0)),0)+IFERROR(INDEX(年齢階層×在院期間区分F3＿寛解・院内寛解[#All],MATCH($AL24,年齢階層×在院期間区分F3＿寛解・院内寛解[[#All],[行ラベル]],0),MATCH($AP$3,年齢階層×在院期間区分F3＿寛解・院内寛解[#Headers],0)),0)</f>
        <v>40</v>
      </c>
      <c r="D24" s="209">
        <f t="shared" si="7"/>
        <v>0.1606425702811245</v>
      </c>
      <c r="E24" s="208">
        <f>IFERROR(INDEX(年齢階層×在院期間区分F3＿寛解・院内寛解[#All],MATCH($AL24,年齢階層×在院期間区分F3＿寛解・院内寛解[[#All],[行ラベル]],0),MATCH($AQ$3,年齢階層×在院期間区分F3＿寛解・院内寛解[#Headers],0)),0)+IFERROR(INDEX(年齢階層×在院期間区分F3＿寛解・院内寛解[#All],MATCH($AL24,年齢階層×在院期間区分F3＿寛解・院内寛解[[#All],[行ラベル]],0),MATCH($AR$3,年齢階層×在院期間区分F3＿寛解・院内寛解[#Headers],0)),0)+IFERROR(INDEX(年齢階層×在院期間区分F3＿寛解・院内寛解[#All],MATCH($AL24,年齢階層×在院期間区分F3＿寛解・院内寛解[[#All],[行ラベル]],0),MATCH($AS$3,年齢階層×在院期間区分F3＿寛解・院内寛解[#Headers],0)),0)+IFERROR(INDEX(年齢階層×在院期間区分F3＿寛解・院内寛解[#All],MATCH($AL24,年齢階層×在院期間区分F3＿寛解・院内寛解[[#All],[行ラベル]],0),MATCH($AT$3,年齢階層×在院期間区分F3＿寛解・院内寛解[#Headers],0)),0)+IFERROR(INDEX(年齢階層×在院期間区分F3＿寛解・院内寛解[#All],MATCH($AL24,年齢階層×在院期間区分F3＿寛解・院内寛解[[#All],[行ラベル]],0),MATCH($AU$3,年齢階層×在院期間区分F3＿寛解・院内寛解[#Headers],0)),0)</f>
        <v>7</v>
      </c>
      <c r="F24" s="209">
        <f t="shared" si="8"/>
        <v>0.125</v>
      </c>
      <c r="G24" s="208">
        <f>IFERROR(INDEX(年齢階層×在院期間区分F3＿寛解・院内寛解[#All],MATCH($AL24,年齢階層×在院期間区分F3＿寛解・院内寛解[[#All],[行ラベル]],0),MATCH($AV$3,年齢階層×在院期間区分F3＿寛解・院内寛解[#Headers],0)),0)+IFERROR(INDEX(年齢階層×在院期間区分F3＿寛解・院内寛解[#All],MATCH($AL24,年齢階層×在院期間区分F3＿寛解・院内寛解[[#All],[行ラベル]],0),MATCH($AW$3,年齢階層×在院期間区分F3＿寛解・院内寛解[#Headers],0)),0)+IFERROR(INDEX(年齢階層×在院期間区分F3＿寛解・院内寛解[#All],MATCH($AL24,年齢階層×在院期間区分F3＿寛解・院内寛解[[#All],[行ラベル]],0),MATCH($AX$3,年齢階層×在院期間区分F3＿寛解・院内寛解[#Headers],0)),0)+IFERROR(INDEX(年齢階層×在院期間区分F3＿寛解・院内寛解[#All],MATCH($AL24,年齢階層×在院期間区分F3＿寛解・院内寛解[[#All],[行ラベル]],0),MATCH($AY$3,年齢階層×在院期間区分F3＿寛解・院内寛解[#Headers],0)),0)+IFERROR(INDEX(年齢階層×在院期間区分F3＿寛解・院内寛解[#All],MATCH($AL24,年齢階層×在院期間区分F3＿寛解・院内寛解[[#All],[行ラベル]],0),MATCH($AZ$3,年齢階層×在院期間区分F3＿寛解・院内寛解[#Headers],0)),0)</f>
        <v>1</v>
      </c>
      <c r="H24" s="209">
        <f t="shared" si="9"/>
        <v>5.8823529411764705E-2</v>
      </c>
      <c r="I24" s="232">
        <f>IFERROR(INDEX(年齢階層×在院期間区分F3＿寛解・院内寛解[#All],MATCH($AL24,年齢階層×在院期間区分F3＿寛解・院内寛解[[#All],[行ラベル]],0),MATCH($BA$3,年齢階層×在院期間区分F3＿寛解・院内寛解[#Headers],0)),0)+IFERROR(INDEX(年齢階層×在院期間区分F3＿寛解・院内寛解[#All],MATCH($AL24,年齢階層×在院期間区分F3＿寛解・院内寛解[[#All],[行ラベル]],0),MATCH($BB$3,年齢階層×在院期間区分F3＿寛解・院内寛解[#Headers],0)),0)</f>
        <v>0</v>
      </c>
      <c r="J24" s="209">
        <f t="shared" si="10"/>
        <v>0</v>
      </c>
      <c r="K24" s="208">
        <f t="shared" si="11"/>
        <v>48</v>
      </c>
      <c r="L24" s="209">
        <f t="shared" si="12"/>
        <v>0.14501510574018128</v>
      </c>
      <c r="O24" s="54" t="s">
        <v>6</v>
      </c>
      <c r="P24" s="66">
        <v>15</v>
      </c>
      <c r="Q24" s="66">
        <v>16</v>
      </c>
      <c r="R24" s="66">
        <v>5</v>
      </c>
      <c r="S24" s="66">
        <v>4</v>
      </c>
      <c r="T24" s="66">
        <v>3</v>
      </c>
      <c r="U24" s="66">
        <v>1</v>
      </c>
      <c r="V24" s="66">
        <v>3</v>
      </c>
      <c r="W24" s="66"/>
      <c r="X24" s="66"/>
      <c r="Y24" s="66">
        <v>1</v>
      </c>
      <c r="Z24" s="66"/>
      <c r="AA24" s="66"/>
      <c r="AB24" s="66"/>
      <c r="AC24" s="66"/>
      <c r="AD24" s="66"/>
      <c r="AE24" s="66"/>
      <c r="AF24" s="22"/>
      <c r="AG24" s="22"/>
      <c r="AL24" s="54" t="s">
        <v>6</v>
      </c>
    </row>
    <row r="25" spans="2:54" ht="18.75" customHeight="1" x14ac:dyDescent="0.15">
      <c r="B25" s="230" t="s">
        <v>7</v>
      </c>
      <c r="C25" s="208">
        <f>IFERROR(INDEX(年齢階層×在院期間区分F3＿寛解・院内寛解[#All],MATCH($AL25,年齢階層×在院期間区分F3＿寛解・院内寛解[[#All],[行ラベル]],0),MATCH($AM$3,年齢階層×在院期間区分F3＿寛解・院内寛解[#Headers],0)),0)+IFERROR(INDEX(年齢階層×在院期間区分F3＿寛解・院内寛解[#All],MATCH($AL25,年齢階層×在院期間区分F3＿寛解・院内寛解[[#All],[行ラベル]],0),MATCH($AN$3,年齢階層×在院期間区分F3＿寛解・院内寛解[#Headers],0)),0)+IFERROR(INDEX(年齢階層×在院期間区分F3＿寛解・院内寛解[#All],MATCH($AL25,年齢階層×在院期間区分F3＿寛解・院内寛解[[#All],[行ラベル]],0),MATCH($AO$3,年齢階層×在院期間区分F3＿寛解・院内寛解[#Headers],0)),0)+IFERROR(INDEX(年齢階層×在院期間区分F3＿寛解・院内寛解[#All],MATCH($AL25,年齢階層×在院期間区分F3＿寛解・院内寛解[[#All],[行ラベル]],0),MATCH($AP$3,年齢階層×在院期間区分F3＿寛解・院内寛解[#Headers],0)),0)</f>
        <v>42</v>
      </c>
      <c r="D25" s="209">
        <f t="shared" si="7"/>
        <v>0.16867469879518071</v>
      </c>
      <c r="E25" s="208">
        <f>IFERROR(INDEX(年齢階層×在院期間区分F3＿寛解・院内寛解[#All],MATCH($AL25,年齢階層×在院期間区分F3＿寛解・院内寛解[[#All],[行ラベル]],0),MATCH($AQ$3,年齢階層×在院期間区分F3＿寛解・院内寛解[#Headers],0)),0)+IFERROR(INDEX(年齢階層×在院期間区分F3＿寛解・院内寛解[#All],MATCH($AL25,年齢階層×在院期間区分F3＿寛解・院内寛解[[#All],[行ラベル]],0),MATCH($AR$3,年齢階層×在院期間区分F3＿寛解・院内寛解[#Headers],0)),0)+IFERROR(INDEX(年齢階層×在院期間区分F3＿寛解・院内寛解[#All],MATCH($AL25,年齢階層×在院期間区分F3＿寛解・院内寛解[[#All],[行ラベル]],0),MATCH($AS$3,年齢階層×在院期間区分F3＿寛解・院内寛解[#Headers],0)),0)+IFERROR(INDEX(年齢階層×在院期間区分F3＿寛解・院内寛解[#All],MATCH($AL25,年齢階層×在院期間区分F3＿寛解・院内寛解[[#All],[行ラベル]],0),MATCH($AT$3,年齢階層×在院期間区分F3＿寛解・院内寛解[#Headers],0)),0)+IFERROR(INDEX(年齢階層×在院期間区分F3＿寛解・院内寛解[#All],MATCH($AL25,年齢階層×在院期間区分F3＿寛解・院内寛解[[#All],[行ラベル]],0),MATCH($AU$3,年齢階層×在院期間区分F3＿寛解・院内寛解[#Headers],0)),0)</f>
        <v>6</v>
      </c>
      <c r="F25" s="209">
        <f t="shared" si="8"/>
        <v>0.10714285714285714</v>
      </c>
      <c r="G25" s="208">
        <f>IFERROR(INDEX(年齢階層×在院期間区分F3＿寛解・院内寛解[#All],MATCH($AL25,年齢階層×在院期間区分F3＿寛解・院内寛解[[#All],[行ラベル]],0),MATCH($AV$3,年齢階層×在院期間区分F3＿寛解・院内寛解[#Headers],0)),0)+IFERROR(INDEX(年齢階層×在院期間区分F3＿寛解・院内寛解[#All],MATCH($AL25,年齢階層×在院期間区分F3＿寛解・院内寛解[[#All],[行ラベル]],0),MATCH($AW$3,年齢階層×在院期間区分F3＿寛解・院内寛解[#Headers],0)),0)+IFERROR(INDEX(年齢階層×在院期間区分F3＿寛解・院内寛解[#All],MATCH($AL25,年齢階層×在院期間区分F3＿寛解・院内寛解[[#All],[行ラベル]],0),MATCH($AX$3,年齢階層×在院期間区分F3＿寛解・院内寛解[#Headers],0)),0)+IFERROR(INDEX(年齢階層×在院期間区分F3＿寛解・院内寛解[#All],MATCH($AL25,年齢階層×在院期間区分F3＿寛解・院内寛解[[#All],[行ラベル]],0),MATCH($AY$3,年齢階層×在院期間区分F3＿寛解・院内寛解[#Headers],0)),0)+IFERROR(INDEX(年齢階層×在院期間区分F3＿寛解・院内寛解[#All],MATCH($AL25,年齢階層×在院期間区分F3＿寛解・院内寛解[[#All],[行ラベル]],0),MATCH($AZ$3,年齢階層×在院期間区分F3＿寛解・院内寛解[#Headers],0)),0)</f>
        <v>3</v>
      </c>
      <c r="H25" s="209">
        <f t="shared" si="9"/>
        <v>0.17647058823529413</v>
      </c>
      <c r="I25" s="208">
        <f>IFERROR(INDEX(年齢階層×在院期間区分F3＿寛解・院内寛解[#All],MATCH($AL25,年齢階層×在院期間区分F3＿寛解・院内寛解[[#All],[行ラベル]],0),MATCH($BA$3,年齢階層×在院期間区分F3＿寛解・院内寛解[#Headers],0)),0)+IFERROR(INDEX(年齢階層×在院期間区分F3＿寛解・院内寛解[#All],MATCH($AL25,年齢階層×在院期間区分F3＿寛解・院内寛解[[#All],[行ラベル]],0),MATCH($BB$3,年齢階層×在院期間区分F3＿寛解・院内寛解[#Headers],0)),0)</f>
        <v>2</v>
      </c>
      <c r="J25" s="209">
        <f t="shared" si="10"/>
        <v>0.22222222222222221</v>
      </c>
      <c r="K25" s="208">
        <f t="shared" si="11"/>
        <v>53</v>
      </c>
      <c r="L25" s="209">
        <f t="shared" si="12"/>
        <v>0.16012084592145015</v>
      </c>
      <c r="O25" s="54" t="s">
        <v>7</v>
      </c>
      <c r="P25" s="66">
        <v>21</v>
      </c>
      <c r="Q25" s="66">
        <v>9</v>
      </c>
      <c r="R25" s="66">
        <v>10</v>
      </c>
      <c r="S25" s="66">
        <v>2</v>
      </c>
      <c r="T25" s="66">
        <v>1</v>
      </c>
      <c r="U25" s="66">
        <v>2</v>
      </c>
      <c r="V25" s="66">
        <v>2</v>
      </c>
      <c r="W25" s="66">
        <v>1</v>
      </c>
      <c r="X25" s="66"/>
      <c r="Y25" s="66">
        <v>1</v>
      </c>
      <c r="Z25" s="66"/>
      <c r="AA25" s="66">
        <v>1</v>
      </c>
      <c r="AB25" s="66"/>
      <c r="AC25" s="66">
        <v>1</v>
      </c>
      <c r="AD25" s="66">
        <v>1</v>
      </c>
      <c r="AE25" s="66">
        <v>1</v>
      </c>
      <c r="AF25" s="22"/>
      <c r="AG25" s="22"/>
      <c r="AL25" s="54" t="s">
        <v>7</v>
      </c>
    </row>
    <row r="26" spans="2:54" ht="18.75" customHeight="1" x14ac:dyDescent="0.15">
      <c r="B26" s="230" t="s">
        <v>8</v>
      </c>
      <c r="C26" s="208">
        <f>IFERROR(INDEX(年齢階層×在院期間区分F3＿寛解・院内寛解[#All],MATCH($AL26,年齢階層×在院期間区分F3＿寛解・院内寛解[[#All],[行ラベル]],0),MATCH($AM$3,年齢階層×在院期間区分F3＿寛解・院内寛解[#Headers],0)),0)+IFERROR(INDEX(年齢階層×在院期間区分F3＿寛解・院内寛解[#All],MATCH($AL26,年齢階層×在院期間区分F3＿寛解・院内寛解[[#All],[行ラベル]],0),MATCH($AN$3,年齢階層×在院期間区分F3＿寛解・院内寛解[#Headers],0)),0)+IFERROR(INDEX(年齢階層×在院期間区分F3＿寛解・院内寛解[#All],MATCH($AL26,年齢階層×在院期間区分F3＿寛解・院内寛解[[#All],[行ラベル]],0),MATCH($AO$3,年齢階層×在院期間区分F3＿寛解・院内寛解[#Headers],0)),0)+IFERROR(INDEX(年齢階層×在院期間区分F3＿寛解・院内寛解[#All],MATCH($AL26,年齢階層×在院期間区分F3＿寛解・院内寛解[[#All],[行ラベル]],0),MATCH($AP$3,年齢階層×在院期間区分F3＿寛解・院内寛解[#Headers],0)),0)</f>
        <v>69</v>
      </c>
      <c r="D26" s="209">
        <f t="shared" si="7"/>
        <v>0.27710843373493976</v>
      </c>
      <c r="E26" s="232">
        <f>IFERROR(INDEX(年齢階層×在院期間区分F3＿寛解・院内寛解[#All],MATCH($AL26,年齢階層×在院期間区分F3＿寛解・院内寛解[[#All],[行ラベル]],0),MATCH($AQ$3,年齢階層×在院期間区分F3＿寛解・院内寛解[#Headers],0)),0)+IFERROR(INDEX(年齢階層×在院期間区分F3＿寛解・院内寛解[#All],MATCH($AL26,年齢階層×在院期間区分F3＿寛解・院内寛解[[#All],[行ラベル]],0),MATCH($AR$3,年齢階層×在院期間区分F3＿寛解・院内寛解[#Headers],0)),0)+IFERROR(INDEX(年齢階層×在院期間区分F3＿寛解・院内寛解[#All],MATCH($AL26,年齢階層×在院期間区分F3＿寛解・院内寛解[[#All],[行ラベル]],0),MATCH($AS$3,年齢階層×在院期間区分F3＿寛解・院内寛解[#Headers],0)),0)+IFERROR(INDEX(年齢階層×在院期間区分F3＿寛解・院内寛解[#All],MATCH($AL26,年齢階層×在院期間区分F3＿寛解・院内寛解[[#All],[行ラベル]],0),MATCH($AT$3,年齢階層×在院期間区分F3＿寛解・院内寛解[#Headers],0)),0)+IFERROR(INDEX(年齢階層×在院期間区分F3＿寛解・院内寛解[#All],MATCH($AL26,年齢階層×在院期間区分F3＿寛解・院内寛解[[#All],[行ラベル]],0),MATCH($AU$3,年齢階層×在院期間区分F3＿寛解・院内寛解[#Headers],0)),0)</f>
        <v>23</v>
      </c>
      <c r="F26" s="209">
        <f t="shared" si="8"/>
        <v>0.4107142857142857</v>
      </c>
      <c r="G26" s="232">
        <f>IFERROR(INDEX(年齢階層×在院期間区分F3＿寛解・院内寛解[#All],MATCH($AL26,年齢階層×在院期間区分F3＿寛解・院内寛解[[#All],[行ラベル]],0),MATCH($AV$3,年齢階層×在院期間区分F3＿寛解・院内寛解[#Headers],0)),0)+IFERROR(INDEX(年齢階層×在院期間区分F3＿寛解・院内寛解[#All],MATCH($AL26,年齢階層×在院期間区分F3＿寛解・院内寛解[[#All],[行ラベル]],0),MATCH($AW$3,年齢階層×在院期間区分F3＿寛解・院内寛解[#Headers],0)),0)+IFERROR(INDEX(年齢階層×在院期間区分F3＿寛解・院内寛解[#All],MATCH($AL26,年齢階層×在院期間区分F3＿寛解・院内寛解[[#All],[行ラベル]],0),MATCH($AX$3,年齢階層×在院期間区分F3＿寛解・院内寛解[#Headers],0)),0)+IFERROR(INDEX(年齢階層×在院期間区分F3＿寛解・院内寛解[#All],MATCH($AL26,年齢階層×在院期間区分F3＿寛解・院内寛解[[#All],[行ラベル]],0),MATCH($AY$3,年齢階層×在院期間区分F3＿寛解・院内寛解[#Headers],0)),0)+IFERROR(INDEX(年齢階層×在院期間区分F3＿寛解・院内寛解[#All],MATCH($AL26,年齢階層×在院期間区分F3＿寛解・院内寛解[[#All],[行ラベル]],0),MATCH($AZ$3,年齢階層×在院期間区分F3＿寛解・院内寛解[#Headers],0)),0)</f>
        <v>5</v>
      </c>
      <c r="H26" s="209">
        <f t="shared" si="9"/>
        <v>0.29411764705882354</v>
      </c>
      <c r="I26" s="232">
        <f>IFERROR(INDEX(年齢階層×在院期間区分F3＿寛解・院内寛解[#All],MATCH($AL26,年齢階層×在院期間区分F3＿寛解・院内寛解[[#All],[行ラベル]],0),MATCH($BA$3,年齢階層×在院期間区分F3＿寛解・院内寛解[#Headers],0)),0)+IFERROR(INDEX(年齢階層×在院期間区分F3＿寛解・院内寛解[#All],MATCH($AL26,年齢階層×在院期間区分F3＿寛解・院内寛解[[#All],[行ラベル]],0),MATCH($BB$3,年齢階層×在院期間区分F3＿寛解・院内寛解[#Headers],0)),0)</f>
        <v>4</v>
      </c>
      <c r="J26" s="209">
        <f t="shared" si="10"/>
        <v>0.44444444444444442</v>
      </c>
      <c r="K26" s="208">
        <f t="shared" si="11"/>
        <v>101</v>
      </c>
      <c r="L26" s="209">
        <f t="shared" si="12"/>
        <v>0.30513595166163143</v>
      </c>
      <c r="O26" s="54" t="s">
        <v>8</v>
      </c>
      <c r="P26" s="66">
        <v>30</v>
      </c>
      <c r="Q26" s="66">
        <v>10</v>
      </c>
      <c r="R26" s="66">
        <v>15</v>
      </c>
      <c r="S26" s="66">
        <v>14</v>
      </c>
      <c r="T26" s="66">
        <v>6</v>
      </c>
      <c r="U26" s="66">
        <v>2</v>
      </c>
      <c r="V26" s="66">
        <v>7</v>
      </c>
      <c r="W26" s="66">
        <v>2</v>
      </c>
      <c r="X26" s="66">
        <v>6</v>
      </c>
      <c r="Y26" s="66">
        <v>1</v>
      </c>
      <c r="Z26" s="66">
        <v>1</v>
      </c>
      <c r="AA26" s="66"/>
      <c r="AB26" s="66">
        <v>3</v>
      </c>
      <c r="AC26" s="66"/>
      <c r="AD26" s="66">
        <v>4</v>
      </c>
      <c r="AE26" s="66"/>
      <c r="AF26" s="22"/>
      <c r="AG26" s="22"/>
      <c r="AL26" s="54" t="s">
        <v>8</v>
      </c>
    </row>
    <row r="27" spans="2:54" ht="18.75" customHeight="1" x14ac:dyDescent="0.15">
      <c r="B27" s="230" t="s">
        <v>9</v>
      </c>
      <c r="C27" s="208">
        <f>IFERROR(INDEX(年齢階層×在院期間区分F3＿寛解・院内寛解[#All],MATCH($AL27,年齢階層×在院期間区分F3＿寛解・院内寛解[[#All],[行ラベル]],0),MATCH($AM$3,年齢階層×在院期間区分F3＿寛解・院内寛解[#Headers],0)),0)+IFERROR(INDEX(年齢階層×在院期間区分F3＿寛解・院内寛解[#All],MATCH($AL27,年齢階層×在院期間区分F3＿寛解・院内寛解[[#All],[行ラベル]],0),MATCH($AN$3,年齢階層×在院期間区分F3＿寛解・院内寛解[#Headers],0)),0)+IFERROR(INDEX(年齢階層×在院期間区分F3＿寛解・院内寛解[#All],MATCH($AL27,年齢階層×在院期間区分F3＿寛解・院内寛解[[#All],[行ラベル]],0),MATCH($AO$3,年齢階層×在院期間区分F3＿寛解・院内寛解[#Headers],0)),0)+IFERROR(INDEX(年齢階層×在院期間区分F3＿寛解・院内寛解[#All],MATCH($AL27,年齢階層×在院期間区分F3＿寛解・院内寛解[[#All],[行ラベル]],0),MATCH($AP$3,年齢階層×在院期間区分F3＿寛解・院内寛解[#Headers],0)),0)</f>
        <v>26</v>
      </c>
      <c r="D27" s="209">
        <f t="shared" si="7"/>
        <v>0.10441767068273092</v>
      </c>
      <c r="E27" s="208">
        <f>IFERROR(INDEX(年齢階層×在院期間区分F3＿寛解・院内寛解[#All],MATCH($AL27,年齢階層×在院期間区分F3＿寛解・院内寛解[[#All],[行ラベル]],0),MATCH($AQ$3,年齢階層×在院期間区分F3＿寛解・院内寛解[#Headers],0)),0)+IFERROR(INDEX(年齢階層×在院期間区分F3＿寛解・院内寛解[#All],MATCH($AL27,年齢階層×在院期間区分F3＿寛解・院内寛解[[#All],[行ラベル]],0),MATCH($AR$3,年齢階層×在院期間区分F3＿寛解・院内寛解[#Headers],0)),0)+IFERROR(INDEX(年齢階層×在院期間区分F3＿寛解・院内寛解[#All],MATCH($AL27,年齢階層×在院期間区分F3＿寛解・院内寛解[[#All],[行ラベル]],0),MATCH($AS$3,年齢階層×在院期間区分F3＿寛解・院内寛解[#Headers],0)),0)+IFERROR(INDEX(年齢階層×在院期間区分F3＿寛解・院内寛解[#All],MATCH($AL27,年齢階層×在院期間区分F3＿寛解・院内寛解[[#All],[行ラベル]],0),MATCH($AT$3,年齢階層×在院期間区分F3＿寛解・院内寛解[#Headers],0)),0)+IFERROR(INDEX(年齢階層×在院期間区分F3＿寛解・院内寛解[#All],MATCH($AL27,年齢階層×在院期間区分F3＿寛解・院内寛解[[#All],[行ラベル]],0),MATCH($AU$3,年齢階層×在院期間区分F3＿寛解・院内寛解[#Headers],0)),0)</f>
        <v>14</v>
      </c>
      <c r="F27" s="209">
        <f t="shared" si="8"/>
        <v>0.25</v>
      </c>
      <c r="G27" s="208">
        <f>IFERROR(INDEX(年齢階層×在院期間区分F3＿寛解・院内寛解[#All],MATCH($AL27,年齢階層×在院期間区分F3＿寛解・院内寛解[[#All],[行ラベル]],0),MATCH($AV$3,年齢階層×在院期間区分F3＿寛解・院内寛解[#Headers],0)),0)+IFERROR(INDEX(年齢階層×在院期間区分F3＿寛解・院内寛解[#All],MATCH($AL27,年齢階層×在院期間区分F3＿寛解・院内寛解[[#All],[行ラベル]],0),MATCH($AW$3,年齢階層×在院期間区分F3＿寛解・院内寛解[#Headers],0)),0)+IFERROR(INDEX(年齢階層×在院期間区分F3＿寛解・院内寛解[#All],MATCH($AL27,年齢階層×在院期間区分F3＿寛解・院内寛解[[#All],[行ラベル]],0),MATCH($AX$3,年齢階層×在院期間区分F3＿寛解・院内寛解[#Headers],0)),0)+IFERROR(INDEX(年齢階層×在院期間区分F3＿寛解・院内寛解[#All],MATCH($AL27,年齢階層×在院期間区分F3＿寛解・院内寛解[[#All],[行ラベル]],0),MATCH($AY$3,年齢階層×在院期間区分F3＿寛解・院内寛解[#Headers],0)),0)+IFERROR(INDEX(年齢階層×在院期間区分F3＿寛解・院内寛解[#All],MATCH($AL27,年齢階層×在院期間区分F3＿寛解・院内寛解[[#All],[行ラベル]],0),MATCH($AZ$3,年齢階層×在院期間区分F3＿寛解・院内寛解[#Headers],0)),0)</f>
        <v>4</v>
      </c>
      <c r="H27" s="209">
        <f t="shared" si="9"/>
        <v>0.23529411764705882</v>
      </c>
      <c r="I27" s="231">
        <f>IFERROR(INDEX(年齢階層×在院期間区分F3＿寛解・院内寛解[#All],MATCH($AL27,年齢階層×在院期間区分F3＿寛解・院内寛解[[#All],[行ラベル]],0),MATCH($BA$3,年齢階層×在院期間区分F3＿寛解・院内寛解[#Headers],0)),0)+IFERROR(INDEX(年齢階層×在院期間区分F3＿寛解・院内寛解[#All],MATCH($AL27,年齢階層×在院期間区分F3＿寛解・院内寛解[[#All],[行ラベル]],0),MATCH($BB$3,年齢階層×在院期間区分F3＿寛解・院内寛解[#Headers],0)),0)</f>
        <v>3</v>
      </c>
      <c r="J27" s="209">
        <f t="shared" si="10"/>
        <v>0.33333333333333331</v>
      </c>
      <c r="K27" s="208">
        <f t="shared" si="11"/>
        <v>47</v>
      </c>
      <c r="L27" s="209">
        <f t="shared" si="12"/>
        <v>0.1419939577039275</v>
      </c>
      <c r="O27" s="54" t="s">
        <v>9</v>
      </c>
      <c r="P27" s="66">
        <v>7</v>
      </c>
      <c r="Q27" s="66">
        <v>6</v>
      </c>
      <c r="R27" s="66">
        <v>9</v>
      </c>
      <c r="S27" s="66">
        <v>4</v>
      </c>
      <c r="T27" s="66">
        <v>6</v>
      </c>
      <c r="U27" s="66">
        <v>3</v>
      </c>
      <c r="V27" s="66">
        <v>3</v>
      </c>
      <c r="W27" s="66">
        <v>1</v>
      </c>
      <c r="X27" s="66">
        <v>1</v>
      </c>
      <c r="Y27" s="66"/>
      <c r="Z27" s="66">
        <v>2</v>
      </c>
      <c r="AA27" s="66">
        <v>2</v>
      </c>
      <c r="AB27" s="66"/>
      <c r="AC27" s="66"/>
      <c r="AD27" s="66">
        <v>3</v>
      </c>
      <c r="AE27" s="66"/>
      <c r="AF27" s="22"/>
      <c r="AG27" s="22"/>
      <c r="AL27" s="54" t="s">
        <v>9</v>
      </c>
    </row>
    <row r="28" spans="2:54" ht="18.75" customHeight="1" thickBot="1" x14ac:dyDescent="0.2">
      <c r="B28" s="233" t="s">
        <v>10</v>
      </c>
      <c r="C28" s="234">
        <f>IFERROR(INDEX(年齢階層×在院期間区分F3＿寛解・院内寛解[#All],MATCH($AL28,年齢階層×在院期間区分F3＿寛解・院内寛解[[#All],[行ラベル]],0),MATCH($AM$3,年齢階層×在院期間区分F3＿寛解・院内寛解[#Headers],0)),0)+IFERROR(INDEX(年齢階層×在院期間区分F3＿寛解・院内寛解[#All],MATCH($AL28,年齢階層×在院期間区分F3＿寛解・院内寛解[[#All],[行ラベル]],0),MATCH($AN$3,年齢階層×在院期間区分F3＿寛解・院内寛解[#Headers],0)),0)+IFERROR(INDEX(年齢階層×在院期間区分F3＿寛解・院内寛解[#All],MATCH($AL28,年齢階層×在院期間区分F3＿寛解・院内寛解[[#All],[行ラベル]],0),MATCH($AO$3,年齢階層×在院期間区分F3＿寛解・院内寛解[#Headers],0)),0)+IFERROR(INDEX(年齢階層×在院期間区分F3＿寛解・院内寛解[#All],MATCH($AL28,年齢階層×在院期間区分F3＿寛解・院内寛解[[#All],[行ラベル]],0),MATCH($AP$3,年齢階層×在院期間区分F3＿寛解・院内寛解[#Headers],0)),0)</f>
        <v>1</v>
      </c>
      <c r="D28" s="213">
        <f t="shared" si="7"/>
        <v>4.0160642570281121E-3</v>
      </c>
      <c r="E28" s="234">
        <f>IFERROR(INDEX(年齢階層×在院期間区分F3＿寛解・院内寛解[#All],MATCH($AL28,年齢階層×在院期間区分F3＿寛解・院内寛解[[#All],[行ラベル]],0),MATCH($AQ$3,年齢階層×在院期間区分F3＿寛解・院内寛解[#Headers],0)),0)+IFERROR(INDEX(年齢階層×在院期間区分F3＿寛解・院内寛解[#All],MATCH($AL28,年齢階層×在院期間区分F3＿寛解・院内寛解[[#All],[行ラベル]],0),MATCH($AR$3,年齢階層×在院期間区分F3＿寛解・院内寛解[#Headers],0)),0)+IFERROR(INDEX(年齢階層×在院期間区分F3＿寛解・院内寛解[#All],MATCH($AL28,年齢階層×在院期間区分F3＿寛解・院内寛解[[#All],[行ラベル]],0),MATCH($AS$3,年齢階層×在院期間区分F3＿寛解・院内寛解[#Headers],0)),0)+IFERROR(INDEX(年齢階層×在院期間区分F3＿寛解・院内寛解[#All],MATCH($AL28,年齢階層×在院期間区分F3＿寛解・院内寛解[[#All],[行ラベル]],0),MATCH($AT$3,年齢階層×在院期間区分F3＿寛解・院内寛解[#Headers],0)),0)+IFERROR(INDEX(年齢階層×在院期間区分F3＿寛解・院内寛解[#All],MATCH($AL28,年齢階層×在院期間区分F3＿寛解・院内寛解[[#All],[行ラベル]],0),MATCH($AU$3,年齢階層×在院期間区分F3＿寛解・院内寛解[#Headers],0)),0)</f>
        <v>1</v>
      </c>
      <c r="F28" s="213">
        <f t="shared" si="8"/>
        <v>1.7857142857142856E-2</v>
      </c>
      <c r="G28" s="234">
        <f>IFERROR(INDEX(年齢階層×在院期間区分F3＿寛解・院内寛解[#All],MATCH($AL28,年齢階層×在院期間区分F3＿寛解・院内寛解[[#All],[行ラベル]],0),MATCH($AV$3,年齢階層×在院期間区分F3＿寛解・院内寛解[#Headers],0)),0)+IFERROR(INDEX(年齢階層×在院期間区分F3＿寛解・院内寛解[#All],MATCH($AL28,年齢階層×在院期間区分F3＿寛解・院内寛解[[#All],[行ラベル]],0),MATCH($AW$3,年齢階層×在院期間区分F3＿寛解・院内寛解[#Headers],0)),0)+IFERROR(INDEX(年齢階層×在院期間区分F3＿寛解・院内寛解[#All],MATCH($AL28,年齢階層×在院期間区分F3＿寛解・院内寛解[[#All],[行ラベル]],0),MATCH($AX$3,年齢階層×在院期間区分F3＿寛解・院内寛解[#Headers],0)),0)+IFERROR(INDEX(年齢階層×在院期間区分F3＿寛解・院内寛解[#All],MATCH($AL28,年齢階層×在院期間区分F3＿寛解・院内寛解[[#All],[行ラベル]],0),MATCH($AY$3,年齢階層×在院期間区分F3＿寛解・院内寛解[#Headers],0)),0)+IFERROR(INDEX(年齢階層×在院期間区分F3＿寛解・院内寛解[#All],MATCH($AL28,年齢階層×在院期間区分F3＿寛解・院内寛解[[#All],[行ラベル]],0),MATCH($AZ$3,年齢階層×在院期間区分F3＿寛解・院内寛解[#Headers],0)),0)</f>
        <v>2</v>
      </c>
      <c r="H28" s="213">
        <f t="shared" si="9"/>
        <v>0.11764705882352941</v>
      </c>
      <c r="I28" s="211">
        <f>IFERROR(INDEX(年齢階層×在院期間区分F3＿寛解・院内寛解[#All],MATCH($AL28,年齢階層×在院期間区分F3＿寛解・院内寛解[[#All],[行ラベル]],0),MATCH($BA$3,年齢階層×在院期間区分F3＿寛解・院内寛解[#Headers],0)),0)+IFERROR(INDEX(年齢階層×在院期間区分F3＿寛解・院内寛解[#All],MATCH($AL28,年齢階層×在院期間区分F3＿寛解・院内寛解[[#All],[行ラベル]],0),MATCH($BB$3,年齢階層×在院期間区分F3＿寛解・院内寛解[#Headers],0)),0)</f>
        <v>0</v>
      </c>
      <c r="J28" s="213">
        <f t="shared" si="10"/>
        <v>0</v>
      </c>
      <c r="K28" s="211">
        <f t="shared" si="11"/>
        <v>4</v>
      </c>
      <c r="L28" s="213">
        <f t="shared" si="12"/>
        <v>1.2084592145015106E-2</v>
      </c>
      <c r="M28" s="78"/>
      <c r="O28" s="54" t="s">
        <v>10</v>
      </c>
      <c r="P28" s="66"/>
      <c r="Q28" s="66"/>
      <c r="R28" s="66">
        <v>1</v>
      </c>
      <c r="S28" s="66"/>
      <c r="T28" s="66"/>
      <c r="U28" s="66">
        <v>1</v>
      </c>
      <c r="V28" s="66"/>
      <c r="W28" s="66"/>
      <c r="X28" s="66"/>
      <c r="Y28" s="66">
        <v>2</v>
      </c>
      <c r="Z28" s="66"/>
      <c r="AA28" s="66"/>
      <c r="AB28" s="66"/>
      <c r="AC28" s="66"/>
      <c r="AD28" s="66"/>
      <c r="AE28" s="66"/>
      <c r="AF28" s="22"/>
      <c r="AG28" s="22"/>
      <c r="AL28" s="54" t="s">
        <v>10</v>
      </c>
    </row>
    <row r="29" spans="2:54" ht="18.75" customHeight="1" thickTop="1" thickBot="1" x14ac:dyDescent="0.2">
      <c r="B29" s="235" t="s">
        <v>161</v>
      </c>
      <c r="C29" s="236">
        <f t="shared" ref="C29:L29" si="13">SUM(C20:C28)</f>
        <v>249</v>
      </c>
      <c r="D29" s="243">
        <f t="shared" si="13"/>
        <v>1</v>
      </c>
      <c r="E29" s="236">
        <f t="shared" si="13"/>
        <v>56</v>
      </c>
      <c r="F29" s="243">
        <f t="shared" si="13"/>
        <v>1</v>
      </c>
      <c r="G29" s="236">
        <f t="shared" si="13"/>
        <v>17</v>
      </c>
      <c r="H29" s="243">
        <f t="shared" si="13"/>
        <v>1</v>
      </c>
      <c r="I29" s="236">
        <f t="shared" si="13"/>
        <v>9</v>
      </c>
      <c r="J29" s="243">
        <f t="shared" si="13"/>
        <v>1</v>
      </c>
      <c r="K29" s="236">
        <f t="shared" si="13"/>
        <v>331</v>
      </c>
      <c r="L29" s="243">
        <f t="shared" si="13"/>
        <v>1</v>
      </c>
      <c r="O29" s="429" t="s">
        <v>308</v>
      </c>
      <c r="P29" s="487" t="s">
        <v>182</v>
      </c>
      <c r="Q29" s="487" t="s">
        <v>183</v>
      </c>
      <c r="R29" s="487" t="s">
        <v>184</v>
      </c>
      <c r="S29" s="487" t="s">
        <v>185</v>
      </c>
      <c r="T29" s="487" t="s">
        <v>186</v>
      </c>
      <c r="U29" s="487" t="s">
        <v>187</v>
      </c>
      <c r="V29" s="487" t="s">
        <v>188</v>
      </c>
      <c r="W29" s="487" t="s">
        <v>189</v>
      </c>
      <c r="X29" s="487" t="s">
        <v>190</v>
      </c>
      <c r="Y29" s="487" t="s">
        <v>191</v>
      </c>
      <c r="Z29" s="487" t="s">
        <v>192</v>
      </c>
      <c r="AA29" s="487" t="s">
        <v>193</v>
      </c>
      <c r="AB29" s="487" t="s">
        <v>194</v>
      </c>
      <c r="AC29" s="487" t="s">
        <v>195</v>
      </c>
      <c r="AD29" s="487" t="s">
        <v>196</v>
      </c>
      <c r="AE29" s="486" t="s">
        <v>197</v>
      </c>
      <c r="AF29" s="22"/>
      <c r="AG29" s="22"/>
      <c r="AL29" s="22"/>
    </row>
    <row r="30" spans="2:54" ht="18.75" customHeight="1" thickTop="1" x14ac:dyDescent="0.15">
      <c r="B30" s="247" t="s">
        <v>93</v>
      </c>
      <c r="C30" s="248">
        <f>IFERROR(INDEX(年齢階層×在院期間区分F3_65歳未満以上＿寛解・院内寛解[#All],MATCH($AL30,年齢階層×在院期間区分F3_65歳未満以上＿寛解・院内寛解[[#All],[列1]],0),MATCH($AM$3,年齢階層×在院期間区分F3_65歳未満以上＿寛解・院内寛解[#Headers],0)),0)+IFERROR(INDEX(年齢階層×在院期間区分F3_65歳未満以上＿寛解・院内寛解[#All],MATCH($AL30,年齢階層×在院期間区分F3_65歳未満以上＿寛解・院内寛解[[#All],[列1]],0),MATCH($AN$3,年齢階層×在院期間区分F3_65歳未満以上＿寛解・院内寛解[#Headers],0)),0)+IFERROR(INDEX(年齢階層×在院期間区分F3_65歳未満以上＿寛解・院内寛解[#All],MATCH($AL30,年齢階層×在院期間区分F3_65歳未満以上＿寛解・院内寛解[[#All],[列1]],0),MATCH($AO$3,年齢階層×在院期間区分F3_65歳未満以上＿寛解・院内寛解[#Headers],0)),0)+IFERROR(INDEX(年齢階層×在院期間区分F3_65歳未満以上＿寛解・院内寛解[#All],MATCH($AL30,年齢階層×在院期間区分F3_65歳未満以上＿寛解・院内寛解[[#All],[列1]],0),MATCH($AP$3,年齢階層×在院期間区分F3_65歳未満以上＿寛解・院内寛解[#Headers],0)),0)</f>
        <v>132</v>
      </c>
      <c r="D30" s="224">
        <f>IFERROR(C30/$C$29,"-")</f>
        <v>0.53012048192771088</v>
      </c>
      <c r="E30" s="248">
        <f>IFERROR(INDEX(年齢階層×在院期間区分F3_65歳未満以上＿寛解・院内寛解[#All],MATCH($AL30,年齢階層×在院期間区分F3_65歳未満以上＿寛解・院内寛解[[#All],[列1]],0),MATCH($AQ$3,年齢階層×在院期間区分F3_65歳未満以上＿寛解・院内寛解[#Headers],0)),0)+IFERROR(INDEX(年齢階層×在院期間区分F3_65歳未満以上＿寛解・院内寛解[#All],MATCH($AL30,年齢階層×在院期間区分F3_65歳未満以上＿寛解・院内寛解[[#All],[列1]],0),MATCH($AR$3,年齢階層×在院期間区分F3_65歳未満以上＿寛解・院内寛解[#Headers],0)),0)+IFERROR(INDEX(年齢階層×在院期間区分F3_65歳未満以上＿寛解・院内寛解[#All],MATCH($AL30,年齢階層×在院期間区分F3_65歳未満以上＿寛解・院内寛解[[#All],[列1]],0),MATCH($AS$3,年齢階層×在院期間区分F3_65歳未満以上＿寛解・院内寛解[#Headers],0)),0)+IFERROR(INDEX(年齢階層×在院期間区分F3_65歳未満以上＿寛解・院内寛解[#All],MATCH($AL30,年齢階層×在院期間区分F3_65歳未満以上＿寛解・院内寛解[[#All],[列1]],0),MATCH($AT$3,年齢階層×在院期間区分F3_65歳未満以上＿寛解・院内寛解[#Headers],0)),0)+IFERROR(INDEX(年齢階層×在院期間区分F3_65歳未満以上＿寛解・院内寛解[#All],MATCH($AL30,年齢階層×在院期間区分F3_65歳未満以上＿寛解・院内寛解[[#All],[列1]],0),MATCH($AU$3,年齢階層×在院期間区分F3_65歳未満以上＿寛解・院内寛解[#Headers],0)),0)</f>
        <v>15</v>
      </c>
      <c r="F30" s="224">
        <f>IFERROR(E30/$E$29,"-")</f>
        <v>0.26785714285714285</v>
      </c>
      <c r="G30" s="248">
        <f>IFERROR(INDEX(年齢階層×在院期間区分F3_65歳未満以上＿寛解・院内寛解[#All],MATCH($AL30,年齢階層×在院期間区分F3_65歳未満以上＿寛解・院内寛解[[#All],[列1]],0),MATCH($AV$3,年齢階層×在院期間区分F3_65歳未満以上＿寛解・院内寛解[#Headers],0)),0)+IFERROR(INDEX(年齢階層×在院期間区分F3_65歳未満以上＿寛解・院内寛解[#All],MATCH($AL30,年齢階層×在院期間区分F3_65歳未満以上＿寛解・院内寛解[[#All],[列1]],0),MATCH($AW$3,年齢階層×在院期間区分F3_65歳未満以上＿寛解・院内寛解[#Headers],0)),0)+IFERROR(INDEX(年齢階層×在院期間区分F3_65歳未満以上＿寛解・院内寛解[#All],MATCH($AL30,年齢階層×在院期間区分F3_65歳未満以上＿寛解・院内寛解[[#All],[列1]],0),MATCH($AX$3,年齢階層×在院期間区分F3_65歳未満以上＿寛解・院内寛解[#Headers],0)),0)+IFERROR(INDEX(年齢階層×在院期間区分F3_65歳未満以上＿寛解・院内寛解[#All],MATCH($AL30,年齢階層×在院期間区分F3_65歳未満以上＿寛解・院内寛解[[#All],[列1]],0),MATCH($AY$3,年齢階層×在院期間区分F3_65歳未満以上＿寛解・院内寛解[#Headers],0)),0)+IFERROR(INDEX(年齢階層×在院期間区分F3_65歳未満以上＿寛解・院内寛解[#All],MATCH($AL30,年齢階層×在院期間区分F3_65歳未満以上＿寛解・院内寛解[[#All],[列1]],0),MATCH($AZ$3,年齢階層×在院期間区分F3_65歳未満以上＿寛解・院内寛解[#Headers],0)),0)</f>
        <v>4</v>
      </c>
      <c r="H30" s="224">
        <f>IFERROR(G30/$G$29,"-")</f>
        <v>0.23529411764705882</v>
      </c>
      <c r="I30" s="248">
        <f>IFERROR(INDEX(年齢階層×在院期間区分F3_65歳未満以上＿寛解・院内寛解[#All],MATCH($AL30,年齢階層×在院期間区分F3_65歳未満以上＿寛解・院内寛解[[#All],[列1]],0),MATCH($BA$3,年齢階層×在院期間区分F3_65歳未満以上＿寛解・院内寛解[#Headers],0)),0)+IFERROR(INDEX(年齢階層×在院期間区分F3_65歳未満以上＿寛解・院内寛解[#All],MATCH($AL30,年齢階層×在院期間区分F3_65歳未満以上＿寛解・院内寛解[[#All],[列1]],0),MATCH($BB$3,年齢階層×在院期間区分F3_65歳未満以上＿寛解・院内寛解[#Headers],0)),0)</f>
        <v>2</v>
      </c>
      <c r="J30" s="224">
        <f>IFERROR(I30/$I$29,"-")</f>
        <v>0.22222222222222221</v>
      </c>
      <c r="K30" s="248">
        <f>C30+E30+G30+I30</f>
        <v>153</v>
      </c>
      <c r="L30" s="224">
        <f>IFERROR(K30/$K$29,"-")</f>
        <v>0.46223564954682778</v>
      </c>
      <c r="O30" s="54" t="s">
        <v>307</v>
      </c>
      <c r="P30" s="66">
        <v>18</v>
      </c>
      <c r="Q30" s="66">
        <v>48</v>
      </c>
      <c r="R30" s="66">
        <v>31</v>
      </c>
      <c r="S30" s="66">
        <v>20</v>
      </c>
      <c r="T30" s="66">
        <v>12</v>
      </c>
      <c r="U30" s="66">
        <v>7</v>
      </c>
      <c r="V30" s="66">
        <v>12</v>
      </c>
      <c r="W30" s="66">
        <v>3</v>
      </c>
      <c r="X30" s="66">
        <v>7</v>
      </c>
      <c r="Y30" s="66">
        <v>3</v>
      </c>
      <c r="Z30" s="66">
        <v>3</v>
      </c>
      <c r="AA30" s="66">
        <v>3</v>
      </c>
      <c r="AB30" s="66">
        <v>3</v>
      </c>
      <c r="AC30" s="66">
        <v>1</v>
      </c>
      <c r="AD30" s="66">
        <v>7</v>
      </c>
      <c r="AE30" s="66">
        <v>0</v>
      </c>
      <c r="AF30" s="22"/>
      <c r="AG30" s="22"/>
      <c r="AL30" s="83" t="s">
        <v>156</v>
      </c>
    </row>
    <row r="31" spans="2:54" ht="18.75" customHeight="1" x14ac:dyDescent="0.15">
      <c r="B31" s="249" t="s">
        <v>89</v>
      </c>
      <c r="C31" s="248">
        <f>IFERROR(INDEX(年齢階層×在院期間区分F3_65歳未満以上＿寛解・院内寛解[#All],MATCH($AL31,年齢階層×在院期間区分F3_65歳未満以上＿寛解・院内寛解[[#All],[列1]],0),MATCH($AM$3,年齢階層×在院期間区分F3_65歳未満以上＿寛解・院内寛解[#Headers],0)),0)+IFERROR(INDEX(年齢階層×在院期間区分F3_65歳未満以上＿寛解・院内寛解[#All],MATCH($AL31,年齢階層×在院期間区分F3_65歳未満以上＿寛解・院内寛解[[#All],[列1]],0),MATCH($AN$3,年齢階層×在院期間区分F3_65歳未満以上＿寛解・院内寛解[#Headers],0)),0)+IFERROR(INDEX(年齢階層×在院期間区分F3_65歳未満以上＿寛解・院内寛解[#All],MATCH($AL31,年齢階層×在院期間区分F3_65歳未満以上＿寛解・院内寛解[[#All],[列1]],0),MATCH($AO$3,年齢階層×在院期間区分F3_65歳未満以上＿寛解・院内寛解[#Headers],0)),0)+IFERROR(INDEX(年齢階層×在院期間区分F3_65歳未満以上＿寛解・院内寛解[#All],MATCH($AL31,年齢階層×在院期間区分F3_65歳未満以上＿寛解・院内寛解[[#All],[列1]],0),MATCH($AP$3,年齢階層×在院期間区分F3_65歳未満以上＿寛解・院内寛解[#Headers],0)),0)</f>
        <v>117</v>
      </c>
      <c r="D31" s="241">
        <f>IFERROR(C31/$C$29,"-")</f>
        <v>0.46987951807228917</v>
      </c>
      <c r="E31" s="248">
        <f>IFERROR(INDEX(年齢階層×在院期間区分F3_65歳未満以上＿寛解・院内寛解[#All],MATCH($AL31,年齢階層×在院期間区分F3_65歳未満以上＿寛解・院内寛解[[#All],[列1]],0),MATCH($AQ$3,年齢階層×在院期間区分F3_65歳未満以上＿寛解・院内寛解[#Headers],0)),0)+IFERROR(INDEX(年齢階層×在院期間区分F3_65歳未満以上＿寛解・院内寛解[#All],MATCH($AL31,年齢階層×在院期間区分F3_65歳未満以上＿寛解・院内寛解[[#All],[列1]],0),MATCH($AR$3,年齢階層×在院期間区分F3_65歳未満以上＿寛解・院内寛解[#Headers],0)),0)+IFERROR(INDEX(年齢階層×在院期間区分F3_65歳未満以上＿寛解・院内寛解[#All],MATCH($AL31,年齢階層×在院期間区分F3_65歳未満以上＿寛解・院内寛解[[#All],[列1]],0),MATCH($AS$3,年齢階層×在院期間区分F3_65歳未満以上＿寛解・院内寛解[#Headers],0)),0)+IFERROR(INDEX(年齢階層×在院期間区分F3_65歳未満以上＿寛解・院内寛解[#All],MATCH($AL31,年齢階層×在院期間区分F3_65歳未満以上＿寛解・院内寛解[[#All],[列1]],0),MATCH($AT$3,年齢階層×在院期間区分F3_65歳未満以上＿寛解・院内寛解[#Headers],0)),0)+IFERROR(INDEX(年齢階層×在院期間区分F3_65歳未満以上＿寛解・院内寛解[#All],MATCH($AL31,年齢階層×在院期間区分F3_65歳未満以上＿寛解・院内寛解[[#All],[列1]],0),MATCH($AU$3,年齢階層×在院期間区分F3_65歳未満以上＿寛解・院内寛解[#Headers],0)),0)</f>
        <v>41</v>
      </c>
      <c r="F31" s="241">
        <f>IFERROR(E31/$E$29,"-")</f>
        <v>0.7321428571428571</v>
      </c>
      <c r="G31" s="248">
        <f>IFERROR(INDEX(年齢階層×在院期間区分F3_65歳未満以上＿寛解・院内寛解[#All],MATCH($AL31,年齢階層×在院期間区分F3_65歳未満以上＿寛解・院内寛解[[#All],[列1]],0),MATCH($AV$3,年齢階層×在院期間区分F3_65歳未満以上＿寛解・院内寛解[#Headers],0)),0)+IFERROR(INDEX(年齢階層×在院期間区分F3_65歳未満以上＿寛解・院内寛解[#All],MATCH($AL31,年齢階層×在院期間区分F3_65歳未満以上＿寛解・院内寛解[[#All],[列1]],0),MATCH($AW$3,年齢階層×在院期間区分F3_65歳未満以上＿寛解・院内寛解[#Headers],0)),0)+IFERROR(INDEX(年齢階層×在院期間区分F3_65歳未満以上＿寛解・院内寛解[#All],MATCH($AL31,年齢階層×在院期間区分F3_65歳未満以上＿寛解・院内寛解[[#All],[列1]],0),MATCH($AX$3,年齢階層×在院期間区分F3_65歳未満以上＿寛解・院内寛解[#Headers],0)),0)+IFERROR(INDEX(年齢階層×在院期間区分F3_65歳未満以上＿寛解・院内寛解[#All],MATCH($AL31,年齢階層×在院期間区分F3_65歳未満以上＿寛解・院内寛解[[#All],[列1]],0),MATCH($AY$3,年齢階層×在院期間区分F3_65歳未満以上＿寛解・院内寛解[#Headers],0)),0)+IFERROR(INDEX(年齢階層×在院期間区分F3_65歳未満以上＿寛解・院内寛解[#All],MATCH($AL31,年齢階層×在院期間区分F3_65歳未満以上＿寛解・院内寛解[[#All],[列1]],0),MATCH($AZ$3,年齢階層×在院期間区分F3_65歳未満以上＿寛解・院内寛解[#Headers],0)),0)</f>
        <v>13</v>
      </c>
      <c r="H31" s="241">
        <f>IFERROR(G31/$G$29,"-")</f>
        <v>0.76470588235294112</v>
      </c>
      <c r="I31" s="248">
        <f>IFERROR(INDEX(年齢階層×在院期間区分F3_65歳未満以上＿寛解・院内寛解[#All],MATCH($AL31,年齢階層×在院期間区分F3_65歳未満以上＿寛解・院内寛解[[#All],[列1]],0),MATCH($BA$3,年齢階層×在院期間区分F3_65歳未満以上＿寛解・院内寛解[#Headers],0)),0)+IFERROR(INDEX(年齢階層×在院期間区分F3_65歳未満以上＿寛解・院内寛解[#All],MATCH($AL31,年齢階層×在院期間区分F3_65歳未満以上＿寛解・院内寛解[[#All],[列1]],0),MATCH($BB$3,年齢階層×在院期間区分F3_65歳未満以上＿寛解・院内寛解[#Headers],0)),0)</f>
        <v>7</v>
      </c>
      <c r="J31" s="241">
        <f>IFERROR(I31/$I$29,"-")</f>
        <v>0.77777777777777779</v>
      </c>
      <c r="K31" s="248">
        <f>C31+E31+G31+I31</f>
        <v>178</v>
      </c>
      <c r="L31" s="241">
        <f>IFERROR(K31/$K$29,"-")</f>
        <v>0.53776435045317217</v>
      </c>
      <c r="O31" s="83" t="s">
        <v>306</v>
      </c>
      <c r="P31" s="66">
        <v>61</v>
      </c>
      <c r="Q31" s="66">
        <v>49</v>
      </c>
      <c r="R31" s="66">
        <v>16</v>
      </c>
      <c r="S31" s="66">
        <v>6</v>
      </c>
      <c r="T31" s="66">
        <v>6</v>
      </c>
      <c r="U31" s="66">
        <v>4</v>
      </c>
      <c r="V31" s="66">
        <v>4</v>
      </c>
      <c r="W31" s="66">
        <v>1</v>
      </c>
      <c r="X31" s="66">
        <v>0</v>
      </c>
      <c r="Y31" s="66">
        <v>3</v>
      </c>
      <c r="Z31" s="66">
        <v>1</v>
      </c>
      <c r="AA31" s="66">
        <v>0</v>
      </c>
      <c r="AB31" s="66">
        <v>0</v>
      </c>
      <c r="AC31" s="66">
        <v>0</v>
      </c>
      <c r="AD31" s="66">
        <v>1</v>
      </c>
      <c r="AE31" s="66">
        <v>1</v>
      </c>
      <c r="AL31" s="83" t="s">
        <v>88</v>
      </c>
    </row>
    <row r="32" spans="2:54" x14ac:dyDescent="0.15">
      <c r="F32" s="67"/>
      <c r="H32" s="67"/>
      <c r="J32" s="67"/>
      <c r="K32" s="45"/>
    </row>
    <row r="33" spans="2:19" hidden="1" x14ac:dyDescent="0.15"/>
    <row r="34" spans="2:19" hidden="1" x14ac:dyDescent="0.15">
      <c r="C34" s="53"/>
      <c r="D34" s="62"/>
      <c r="E34" s="62"/>
      <c r="F34" s="62"/>
      <c r="G34" s="62"/>
      <c r="H34" s="62"/>
      <c r="I34" s="62"/>
      <c r="J34" s="62"/>
      <c r="K34" s="62"/>
      <c r="L34" s="62"/>
      <c r="M34" s="62"/>
      <c r="N34" s="62"/>
      <c r="O34" s="62"/>
      <c r="P34" s="62"/>
      <c r="Q34" s="62"/>
      <c r="R34" s="53"/>
    </row>
    <row r="35" spans="2:19" hidden="1" x14ac:dyDescent="0.15">
      <c r="B35" s="38"/>
      <c r="C35" s="23"/>
      <c r="D35" s="23"/>
      <c r="E35" s="23"/>
      <c r="F35" s="23"/>
      <c r="G35" s="23"/>
      <c r="H35" s="23"/>
      <c r="I35" s="23"/>
      <c r="J35" s="23"/>
      <c r="K35" s="23"/>
      <c r="L35" s="23"/>
      <c r="M35" s="23"/>
      <c r="N35" s="23"/>
      <c r="O35" s="23"/>
      <c r="P35" s="23"/>
      <c r="Q35" s="23"/>
      <c r="R35" s="23"/>
      <c r="S35" s="23"/>
    </row>
    <row r="36" spans="2:19" hidden="1" x14ac:dyDescent="0.15">
      <c r="B36" s="38"/>
      <c r="C36" s="23"/>
      <c r="D36" s="23"/>
      <c r="E36" s="23"/>
      <c r="F36" s="23"/>
      <c r="G36" s="23"/>
      <c r="H36" s="23"/>
      <c r="I36" s="23"/>
      <c r="J36" s="23"/>
      <c r="K36" s="23"/>
      <c r="L36" s="23"/>
      <c r="M36" s="23"/>
      <c r="N36" s="23"/>
      <c r="O36" s="23"/>
      <c r="P36" s="23"/>
      <c r="Q36" s="23"/>
      <c r="R36" s="23"/>
      <c r="S36" s="23"/>
    </row>
    <row r="37" spans="2:19" hidden="1" x14ac:dyDescent="0.15">
      <c r="B37" s="79"/>
      <c r="C37" s="80"/>
      <c r="D37" s="80"/>
      <c r="E37" s="80"/>
      <c r="F37" s="80"/>
      <c r="G37" s="80"/>
      <c r="H37" s="80"/>
      <c r="I37" s="80"/>
      <c r="J37" s="80"/>
      <c r="K37" s="80"/>
      <c r="L37" s="80"/>
      <c r="M37" s="80"/>
      <c r="N37" s="80"/>
      <c r="O37" s="80"/>
      <c r="P37" s="80"/>
      <c r="Q37" s="80"/>
      <c r="R37" s="80"/>
      <c r="S37" s="80"/>
    </row>
    <row r="38" spans="2:19" ht="35.25" customHeight="1" x14ac:dyDescent="0.15"/>
    <row r="39" spans="2:19" x14ac:dyDescent="0.15">
      <c r="B39" s="38"/>
      <c r="C39" s="23"/>
      <c r="D39" s="23"/>
      <c r="E39" s="23"/>
      <c r="F39" s="23"/>
      <c r="G39" s="23"/>
      <c r="H39" s="23"/>
      <c r="I39" s="23"/>
      <c r="J39" s="23"/>
      <c r="K39" s="23"/>
      <c r="L39" s="23"/>
      <c r="M39" s="23"/>
      <c r="N39" s="23"/>
      <c r="O39" s="23"/>
      <c r="P39" s="23"/>
      <c r="Q39" s="23"/>
      <c r="R39" s="23"/>
      <c r="S39" s="23"/>
    </row>
    <row r="40" spans="2:19" x14ac:dyDescent="0.15">
      <c r="B40" s="38"/>
      <c r="C40" s="23"/>
      <c r="D40" s="23"/>
      <c r="E40" s="23"/>
      <c r="F40" s="23"/>
      <c r="G40" s="23"/>
      <c r="H40" s="23"/>
      <c r="I40" s="23"/>
      <c r="J40" s="23"/>
      <c r="K40" s="23"/>
      <c r="L40" s="23"/>
      <c r="M40" s="23"/>
      <c r="N40" s="23"/>
      <c r="O40" s="23"/>
      <c r="P40" s="23"/>
      <c r="Q40" s="23"/>
      <c r="R40" s="23"/>
      <c r="S40" s="23"/>
    </row>
    <row r="41" spans="2:19" x14ac:dyDescent="0.15">
      <c r="B41" s="38"/>
      <c r="C41" s="23"/>
      <c r="D41" s="23"/>
      <c r="E41" s="23"/>
      <c r="F41" s="23"/>
      <c r="G41" s="23"/>
      <c r="H41" s="23"/>
      <c r="I41" s="23"/>
      <c r="J41" s="23"/>
      <c r="K41" s="23"/>
      <c r="L41" s="23"/>
      <c r="M41" s="23"/>
      <c r="N41" s="23"/>
      <c r="O41" s="23"/>
      <c r="P41" s="23"/>
      <c r="Q41" s="23"/>
      <c r="R41" s="23"/>
      <c r="S41" s="23"/>
    </row>
  </sheetData>
  <mergeCells count="14">
    <mergeCell ref="B18:B19"/>
    <mergeCell ref="C18:L18"/>
    <mergeCell ref="C19:D19"/>
    <mergeCell ref="E19:F19"/>
    <mergeCell ref="G19:H19"/>
    <mergeCell ref="I19:J19"/>
    <mergeCell ref="K19:L19"/>
    <mergeCell ref="B2:B3"/>
    <mergeCell ref="C2:L2"/>
    <mergeCell ref="C3:D3"/>
    <mergeCell ref="E3:F3"/>
    <mergeCell ref="G3:H3"/>
    <mergeCell ref="I3:J3"/>
    <mergeCell ref="K3:L3"/>
  </mergeCells>
  <phoneticPr fontId="2"/>
  <printOptions horizontalCentered="1"/>
  <pageMargins left="0.70866141732283472" right="0.70866141732283472" top="0.74803149606299213" bottom="0.74803149606299213" header="0.31496062992125984" footer="0.31496062992125984"/>
  <pageSetup paperSize="9" scale="92" orientation="landscape" r:id="rId1"/>
  <ignoredErrors>
    <ignoredError sqref="D13:L13 D29:L3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データ削除24">
                <anchor moveWithCells="1" sizeWithCells="1">
                  <from>
                    <xdr:col>31</xdr:col>
                    <xdr:colOff>361950</xdr:colOff>
                    <xdr:row>2</xdr:row>
                    <xdr:rowOff>180975</xdr:rowOff>
                  </from>
                  <to>
                    <xdr:col>34</xdr:col>
                    <xdr:colOff>504825</xdr:colOff>
                    <xdr:row>5</xdr:row>
                    <xdr:rowOff>38100</xdr:rowOff>
                  </to>
                </anchor>
              </controlPr>
            </control>
          </mc:Choice>
        </mc:AlternateContent>
      </controls>
    </mc:Choice>
  </mc:AlternateContent>
  <tableParts count="4">
    <tablePart r:id="rId5"/>
    <tablePart r:id="rId6"/>
    <tablePart r:id="rId7"/>
    <tablePart r:id="rId8"/>
  </tablePar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9" tint="-0.499984740745262"/>
    <pageSetUpPr fitToPage="1"/>
  </sheetPr>
  <dimension ref="A1:AG43"/>
  <sheetViews>
    <sheetView showGridLines="0" zoomScale="80" zoomScaleNormal="80" zoomScaleSheetLayoutView="80" workbookViewId="0">
      <selection activeCell="G26" sqref="G26"/>
    </sheetView>
  </sheetViews>
  <sheetFormatPr defaultColWidth="13.75" defaultRowHeight="18.75" x14ac:dyDescent="0.15"/>
  <cols>
    <col min="1" max="1" width="15.625" style="1" customWidth="1"/>
    <col min="2" max="10" width="8.75" style="1" customWidth="1"/>
    <col min="11" max="11" width="8" style="1" hidden="1" customWidth="1"/>
    <col min="12" max="12" width="7.375" style="1" hidden="1" customWidth="1"/>
    <col min="13" max="33" width="4.75" style="1" hidden="1" customWidth="1"/>
    <col min="34" max="35" width="0" style="1" hidden="1" customWidth="1"/>
    <col min="36" max="16384" width="13.75" style="1"/>
  </cols>
  <sheetData>
    <row r="1" spans="1:31" s="3" customFormat="1" ht="19.5" x14ac:dyDescent="0.15">
      <c r="A1" s="2" t="s">
        <v>375</v>
      </c>
    </row>
    <row r="2" spans="1:31" x14ac:dyDescent="0.15">
      <c r="A2" s="4"/>
    </row>
    <row r="3" spans="1:31" ht="18.75" customHeight="1" x14ac:dyDescent="0.15">
      <c r="A3" s="506"/>
      <c r="B3" s="506" t="s">
        <v>376</v>
      </c>
      <c r="C3" s="506" t="s">
        <v>377</v>
      </c>
      <c r="D3" s="506" t="s">
        <v>378</v>
      </c>
      <c r="E3" s="506" t="s">
        <v>379</v>
      </c>
      <c r="F3" s="506" t="s">
        <v>380</v>
      </c>
      <c r="G3" s="506" t="s">
        <v>381</v>
      </c>
      <c r="H3" s="506" t="s">
        <v>382</v>
      </c>
      <c r="I3" s="506" t="s">
        <v>383</v>
      </c>
      <c r="J3" s="506" t="s">
        <v>62</v>
      </c>
      <c r="L3" s="43" t="s">
        <v>370</v>
      </c>
      <c r="M3" s="43" t="s">
        <v>384</v>
      </c>
      <c r="N3" s="43" t="s">
        <v>385</v>
      </c>
      <c r="O3" s="43" t="s">
        <v>386</v>
      </c>
      <c r="P3" s="43" t="s">
        <v>387</v>
      </c>
      <c r="Q3" s="43" t="s">
        <v>388</v>
      </c>
      <c r="R3" s="43" t="s">
        <v>389</v>
      </c>
      <c r="S3" s="43" t="s">
        <v>390</v>
      </c>
      <c r="T3" s="43" t="s">
        <v>391</v>
      </c>
      <c r="U3" s="43" t="s">
        <v>392</v>
      </c>
      <c r="V3" s="43" t="s">
        <v>393</v>
      </c>
      <c r="W3" s="43" t="s">
        <v>394</v>
      </c>
      <c r="X3" s="43" t="s">
        <v>395</v>
      </c>
      <c r="Y3" s="43" t="s">
        <v>396</v>
      </c>
      <c r="Z3" s="43" t="s">
        <v>397</v>
      </c>
      <c r="AA3" s="43" t="s">
        <v>398</v>
      </c>
      <c r="AB3" s="43" t="s">
        <v>399</v>
      </c>
      <c r="AC3" s="43" t="s">
        <v>400</v>
      </c>
      <c r="AD3" s="43" t="s">
        <v>401</v>
      </c>
      <c r="AE3" s="43" t="s">
        <v>262</v>
      </c>
    </row>
    <row r="4" spans="1:31" ht="18.75" customHeight="1" x14ac:dyDescent="0.15">
      <c r="A4" s="721" t="s">
        <v>2</v>
      </c>
      <c r="B4" s="507">
        <f>M4+N4+O4</f>
        <v>6</v>
      </c>
      <c r="C4" s="507">
        <f>P4+Q4</f>
        <v>7</v>
      </c>
      <c r="D4" s="507">
        <f>R4+S4+T4+U4</f>
        <v>40</v>
      </c>
      <c r="E4" s="507">
        <f>V4+W4</f>
        <v>4</v>
      </c>
      <c r="F4" s="507">
        <f>X4+Y4</f>
        <v>3</v>
      </c>
      <c r="G4" s="507">
        <f>Z4+AA4+AB4</f>
        <v>9</v>
      </c>
      <c r="H4" s="507">
        <f>AC4</f>
        <v>34</v>
      </c>
      <c r="I4" s="507">
        <f>AD4</f>
        <v>49</v>
      </c>
      <c r="J4" s="508">
        <f>SUM(B4:I4)</f>
        <v>152</v>
      </c>
      <c r="L4" s="509" t="s">
        <v>2</v>
      </c>
      <c r="M4" s="510"/>
      <c r="N4" s="510">
        <v>5</v>
      </c>
      <c r="O4" s="510">
        <v>1</v>
      </c>
      <c r="P4" s="510"/>
      <c r="Q4" s="510">
        <v>7</v>
      </c>
      <c r="R4" s="510">
        <v>36</v>
      </c>
      <c r="S4" s="510">
        <v>3</v>
      </c>
      <c r="T4" s="510">
        <v>1</v>
      </c>
      <c r="U4" s="510"/>
      <c r="V4" s="510">
        <v>3</v>
      </c>
      <c r="W4" s="510">
        <v>1</v>
      </c>
      <c r="X4" s="510">
        <v>2</v>
      </c>
      <c r="Y4" s="510">
        <v>1</v>
      </c>
      <c r="Z4" s="510"/>
      <c r="AA4" s="510">
        <v>5</v>
      </c>
      <c r="AB4" s="510">
        <v>4</v>
      </c>
      <c r="AC4" s="510">
        <v>34</v>
      </c>
      <c r="AD4" s="510">
        <v>49</v>
      </c>
      <c r="AE4" s="511">
        <f>SUM(M4:AD4)</f>
        <v>152</v>
      </c>
    </row>
    <row r="5" spans="1:31" ht="18.75" customHeight="1" x14ac:dyDescent="0.15">
      <c r="A5" s="723"/>
      <c r="B5" s="512">
        <f>B4/B$22</f>
        <v>3.5046728971962616E-3</v>
      </c>
      <c r="C5" s="512">
        <f t="shared" ref="C5:J5" si="0">C4/C$22</f>
        <v>3.5425101214574899E-3</v>
      </c>
      <c r="D5" s="512">
        <f t="shared" si="0"/>
        <v>2.9112081513828238E-2</v>
      </c>
      <c r="E5" s="512">
        <f t="shared" si="0"/>
        <v>3.0372057706909645E-3</v>
      </c>
      <c r="F5" s="512">
        <f t="shared" si="0"/>
        <v>2.4311183144246355E-3</v>
      </c>
      <c r="G5" s="512">
        <f t="shared" si="0"/>
        <v>1.6685205784204673E-3</v>
      </c>
      <c r="H5" s="512">
        <f t="shared" si="0"/>
        <v>0.20359281437125748</v>
      </c>
      <c r="I5" s="512">
        <f t="shared" si="0"/>
        <v>2.3569023569023569E-2</v>
      </c>
      <c r="J5" s="512">
        <f t="shared" si="0"/>
        <v>9.9652527371664589E-3</v>
      </c>
      <c r="L5" s="509" t="s">
        <v>3</v>
      </c>
      <c r="M5" s="510">
        <v>4</v>
      </c>
      <c r="N5" s="510">
        <v>23</v>
      </c>
      <c r="O5" s="510">
        <v>2</v>
      </c>
      <c r="P5" s="510">
        <v>10</v>
      </c>
      <c r="Q5" s="510">
        <v>18</v>
      </c>
      <c r="R5" s="510">
        <v>15</v>
      </c>
      <c r="S5" s="510">
        <v>6</v>
      </c>
      <c r="T5" s="510">
        <v>2</v>
      </c>
      <c r="U5" s="510"/>
      <c r="V5" s="510">
        <v>10</v>
      </c>
      <c r="W5" s="510">
        <v>18</v>
      </c>
      <c r="X5" s="510">
        <v>7</v>
      </c>
      <c r="Y5" s="510">
        <v>13</v>
      </c>
      <c r="Z5" s="510">
        <v>11</v>
      </c>
      <c r="AA5" s="510">
        <v>43</v>
      </c>
      <c r="AB5" s="510">
        <v>16</v>
      </c>
      <c r="AC5" s="510">
        <v>12</v>
      </c>
      <c r="AD5" s="510">
        <v>67</v>
      </c>
      <c r="AE5" s="511">
        <f t="shared" ref="AE5:AE10" si="1">SUM(M5:AD5)</f>
        <v>277</v>
      </c>
    </row>
    <row r="6" spans="1:31" ht="18.75" customHeight="1" x14ac:dyDescent="0.15">
      <c r="A6" s="721" t="s">
        <v>3</v>
      </c>
      <c r="B6" s="507">
        <f>M5+N5+O5</f>
        <v>29</v>
      </c>
      <c r="C6" s="507">
        <f>P5+Q5</f>
        <v>28</v>
      </c>
      <c r="D6" s="507">
        <f>R5+S5+T5+U5</f>
        <v>23</v>
      </c>
      <c r="E6" s="507">
        <f>V5+W5</f>
        <v>28</v>
      </c>
      <c r="F6" s="507">
        <f>X5+Y5</f>
        <v>20</v>
      </c>
      <c r="G6" s="507">
        <f>Z5+AA5+AB5</f>
        <v>70</v>
      </c>
      <c r="H6" s="507">
        <f>AC5</f>
        <v>12</v>
      </c>
      <c r="I6" s="507">
        <f>AD5</f>
        <v>67</v>
      </c>
      <c r="J6" s="508">
        <f>SUM(B6:I6)</f>
        <v>277</v>
      </c>
      <c r="L6" s="509" t="s">
        <v>4</v>
      </c>
      <c r="M6" s="510">
        <v>4</v>
      </c>
      <c r="N6" s="510">
        <v>59</v>
      </c>
      <c r="O6" s="510">
        <v>11</v>
      </c>
      <c r="P6" s="510">
        <v>31</v>
      </c>
      <c r="Q6" s="510">
        <v>48</v>
      </c>
      <c r="R6" s="510">
        <v>56</v>
      </c>
      <c r="S6" s="510">
        <v>13</v>
      </c>
      <c r="T6" s="510">
        <v>3</v>
      </c>
      <c r="U6" s="510">
        <v>4</v>
      </c>
      <c r="V6" s="510">
        <v>33</v>
      </c>
      <c r="W6" s="510">
        <v>27</v>
      </c>
      <c r="X6" s="510">
        <v>11</v>
      </c>
      <c r="Y6" s="510">
        <v>37</v>
      </c>
      <c r="Z6" s="510">
        <v>38</v>
      </c>
      <c r="AA6" s="510">
        <v>87</v>
      </c>
      <c r="AB6" s="510">
        <v>33</v>
      </c>
      <c r="AC6" s="510">
        <v>15</v>
      </c>
      <c r="AD6" s="510">
        <v>83</v>
      </c>
      <c r="AE6" s="511">
        <f t="shared" si="1"/>
        <v>593</v>
      </c>
    </row>
    <row r="7" spans="1:31" ht="18.75" customHeight="1" x14ac:dyDescent="0.15">
      <c r="A7" s="722"/>
      <c r="B7" s="512">
        <f>B6/B$22</f>
        <v>1.6939252336448597E-2</v>
      </c>
      <c r="C7" s="512">
        <f t="shared" ref="C7:J7" si="2">C6/C$22</f>
        <v>1.417004048582996E-2</v>
      </c>
      <c r="D7" s="512">
        <f t="shared" si="2"/>
        <v>1.6739446870451237E-2</v>
      </c>
      <c r="E7" s="512">
        <f t="shared" si="2"/>
        <v>2.1260440394836749E-2</v>
      </c>
      <c r="F7" s="512">
        <f t="shared" si="2"/>
        <v>1.6207455429497569E-2</v>
      </c>
      <c r="G7" s="512">
        <f t="shared" si="2"/>
        <v>1.2977382276603633E-2</v>
      </c>
      <c r="H7" s="512">
        <f t="shared" si="2"/>
        <v>7.1856287425149698E-2</v>
      </c>
      <c r="I7" s="512">
        <f t="shared" si="2"/>
        <v>3.2227032227032229E-2</v>
      </c>
      <c r="J7" s="512">
        <f t="shared" si="2"/>
        <v>1.8160361896020456E-2</v>
      </c>
      <c r="L7" s="509" t="s">
        <v>5</v>
      </c>
      <c r="M7" s="510">
        <v>24</v>
      </c>
      <c r="N7" s="510">
        <v>118</v>
      </c>
      <c r="O7" s="510">
        <v>32</v>
      </c>
      <c r="P7" s="510">
        <v>75</v>
      </c>
      <c r="Q7" s="510">
        <v>57</v>
      </c>
      <c r="R7" s="510">
        <v>107</v>
      </c>
      <c r="S7" s="510">
        <v>41</v>
      </c>
      <c r="T7" s="510">
        <v>22</v>
      </c>
      <c r="U7" s="510">
        <v>16</v>
      </c>
      <c r="V7" s="510">
        <v>98</v>
      </c>
      <c r="W7" s="510">
        <v>60</v>
      </c>
      <c r="X7" s="510">
        <v>38</v>
      </c>
      <c r="Y7" s="510">
        <v>82</v>
      </c>
      <c r="Z7" s="510">
        <v>87</v>
      </c>
      <c r="AA7" s="510">
        <v>195</v>
      </c>
      <c r="AB7" s="510">
        <v>99</v>
      </c>
      <c r="AC7" s="510">
        <v>26</v>
      </c>
      <c r="AD7" s="510">
        <v>227</v>
      </c>
      <c r="AE7" s="511">
        <f t="shared" si="1"/>
        <v>1404</v>
      </c>
    </row>
    <row r="8" spans="1:31" ht="18.75" customHeight="1" x14ac:dyDescent="0.15">
      <c r="A8" s="721" t="s">
        <v>4</v>
      </c>
      <c r="B8" s="507">
        <f>M6+N6+O6</f>
        <v>74</v>
      </c>
      <c r="C8" s="507">
        <f>P6+Q6</f>
        <v>79</v>
      </c>
      <c r="D8" s="507">
        <f>R6+S6+T6+U6</f>
        <v>76</v>
      </c>
      <c r="E8" s="507">
        <f>V6+W6</f>
        <v>60</v>
      </c>
      <c r="F8" s="507">
        <f>X6+Y6</f>
        <v>48</v>
      </c>
      <c r="G8" s="507">
        <f>Z6+AA6+AB6</f>
        <v>158</v>
      </c>
      <c r="H8" s="507">
        <f>AC6</f>
        <v>15</v>
      </c>
      <c r="I8" s="507">
        <f>AD6</f>
        <v>83</v>
      </c>
      <c r="J8" s="508">
        <f>SUM(B8:I8)</f>
        <v>593</v>
      </c>
      <c r="L8" s="509" t="s">
        <v>6</v>
      </c>
      <c r="M8" s="510">
        <v>51</v>
      </c>
      <c r="N8" s="510">
        <v>164</v>
      </c>
      <c r="O8" s="510">
        <v>67</v>
      </c>
      <c r="P8" s="510">
        <v>207</v>
      </c>
      <c r="Q8" s="510">
        <v>96</v>
      </c>
      <c r="R8" s="510">
        <v>144</v>
      </c>
      <c r="S8" s="510">
        <v>50</v>
      </c>
      <c r="T8" s="510">
        <v>43</v>
      </c>
      <c r="U8" s="510">
        <v>27</v>
      </c>
      <c r="V8" s="510">
        <v>135</v>
      </c>
      <c r="W8" s="510">
        <v>111</v>
      </c>
      <c r="X8" s="510">
        <v>77</v>
      </c>
      <c r="Y8" s="510">
        <v>146</v>
      </c>
      <c r="Z8" s="510">
        <v>250</v>
      </c>
      <c r="AA8" s="510">
        <v>318</v>
      </c>
      <c r="AB8" s="510">
        <v>179</v>
      </c>
      <c r="AC8" s="510">
        <v>22</v>
      </c>
      <c r="AD8" s="510">
        <v>337</v>
      </c>
      <c r="AE8" s="511">
        <f t="shared" si="1"/>
        <v>2424</v>
      </c>
    </row>
    <row r="9" spans="1:31" ht="18.75" customHeight="1" x14ac:dyDescent="0.15">
      <c r="A9" s="722"/>
      <c r="B9" s="512">
        <f>B8/B$22</f>
        <v>4.3224299065420559E-2</v>
      </c>
      <c r="C9" s="512">
        <f t="shared" ref="C9:J9" si="3">C8/C$22</f>
        <v>3.9979757085020245E-2</v>
      </c>
      <c r="D9" s="512">
        <f t="shared" si="3"/>
        <v>5.5312954876273655E-2</v>
      </c>
      <c r="E9" s="512">
        <f t="shared" si="3"/>
        <v>4.5558086560364468E-2</v>
      </c>
      <c r="F9" s="512">
        <f t="shared" si="3"/>
        <v>3.8897893030794169E-2</v>
      </c>
      <c r="G9" s="512">
        <f t="shared" si="3"/>
        <v>2.9291805710048201E-2</v>
      </c>
      <c r="H9" s="512">
        <f t="shared" si="3"/>
        <v>8.9820359281437126E-2</v>
      </c>
      <c r="I9" s="512">
        <f t="shared" si="3"/>
        <v>3.9923039923039923E-2</v>
      </c>
      <c r="J9" s="512">
        <f t="shared" si="3"/>
        <v>3.887759784960336E-2</v>
      </c>
      <c r="L9" s="509" t="s">
        <v>7</v>
      </c>
      <c r="M9" s="510">
        <v>106</v>
      </c>
      <c r="N9" s="510">
        <v>144</v>
      </c>
      <c r="O9" s="510">
        <v>81</v>
      </c>
      <c r="P9" s="510">
        <v>204</v>
      </c>
      <c r="Q9" s="510">
        <v>95</v>
      </c>
      <c r="R9" s="510">
        <v>88</v>
      </c>
      <c r="S9" s="510">
        <v>30</v>
      </c>
      <c r="T9" s="510">
        <v>46</v>
      </c>
      <c r="U9" s="510">
        <v>34</v>
      </c>
      <c r="V9" s="510">
        <v>153</v>
      </c>
      <c r="W9" s="510">
        <v>111</v>
      </c>
      <c r="X9" s="510">
        <v>109</v>
      </c>
      <c r="Y9" s="510">
        <v>153</v>
      </c>
      <c r="Z9" s="510">
        <v>280</v>
      </c>
      <c r="AA9" s="510">
        <v>430</v>
      </c>
      <c r="AB9" s="510">
        <v>202</v>
      </c>
      <c r="AC9" s="510">
        <v>18</v>
      </c>
      <c r="AD9" s="510">
        <v>332</v>
      </c>
      <c r="AE9" s="511">
        <f t="shared" si="1"/>
        <v>2616</v>
      </c>
    </row>
    <row r="10" spans="1:31" ht="18.75" customHeight="1" x14ac:dyDescent="0.15">
      <c r="A10" s="721" t="s">
        <v>5</v>
      </c>
      <c r="B10" s="507">
        <f>M7+N7+O7</f>
        <v>174</v>
      </c>
      <c r="C10" s="507">
        <f>P7+Q7</f>
        <v>132</v>
      </c>
      <c r="D10" s="507">
        <f>R7+S7+T7+U7</f>
        <v>186</v>
      </c>
      <c r="E10" s="507">
        <f>V7+W7</f>
        <v>158</v>
      </c>
      <c r="F10" s="507">
        <f>X7+Y7</f>
        <v>120</v>
      </c>
      <c r="G10" s="507">
        <f>Z7+AA7+AB7</f>
        <v>381</v>
      </c>
      <c r="H10" s="507">
        <f>AC7</f>
        <v>26</v>
      </c>
      <c r="I10" s="507">
        <f>AD7</f>
        <v>227</v>
      </c>
      <c r="J10" s="508">
        <f>SUM(B10:I10)</f>
        <v>1404</v>
      </c>
      <c r="L10" s="509" t="s">
        <v>8</v>
      </c>
      <c r="M10" s="510">
        <v>165</v>
      </c>
      <c r="N10" s="510">
        <v>207</v>
      </c>
      <c r="O10" s="510">
        <v>92</v>
      </c>
      <c r="P10" s="510">
        <v>336</v>
      </c>
      <c r="Q10" s="510">
        <v>182</v>
      </c>
      <c r="R10" s="510">
        <v>162</v>
      </c>
      <c r="S10" s="510">
        <v>47</v>
      </c>
      <c r="T10" s="510">
        <v>62</v>
      </c>
      <c r="U10" s="510">
        <v>60</v>
      </c>
      <c r="V10" s="510">
        <v>198</v>
      </c>
      <c r="W10" s="510">
        <v>140</v>
      </c>
      <c r="X10" s="510">
        <v>136</v>
      </c>
      <c r="Y10" s="510">
        <v>194</v>
      </c>
      <c r="Z10" s="510">
        <v>462</v>
      </c>
      <c r="AA10" s="510">
        <v>622</v>
      </c>
      <c r="AB10" s="510">
        <v>322</v>
      </c>
      <c r="AC10" s="510">
        <v>27</v>
      </c>
      <c r="AD10" s="510">
        <v>517</v>
      </c>
      <c r="AE10" s="511">
        <f t="shared" si="1"/>
        <v>3931</v>
      </c>
    </row>
    <row r="11" spans="1:31" ht="18.75" customHeight="1" x14ac:dyDescent="0.15">
      <c r="A11" s="722"/>
      <c r="B11" s="512">
        <f>B10/B$22</f>
        <v>0.10163551401869159</v>
      </c>
      <c r="C11" s="512">
        <f t="shared" ref="C11:J11" si="4">C10/C$22</f>
        <v>6.6801619433198386E-2</v>
      </c>
      <c r="D11" s="512">
        <f t="shared" si="4"/>
        <v>0.13537117903930132</v>
      </c>
      <c r="E11" s="512">
        <f t="shared" si="4"/>
        <v>0.11996962794229309</v>
      </c>
      <c r="F11" s="512">
        <f t="shared" si="4"/>
        <v>9.7244732576985418E-2</v>
      </c>
      <c r="G11" s="512">
        <f t="shared" si="4"/>
        <v>7.063403781979978E-2</v>
      </c>
      <c r="H11" s="512">
        <f t="shared" si="4"/>
        <v>0.15568862275449102</v>
      </c>
      <c r="I11" s="512">
        <f t="shared" si="4"/>
        <v>0.10918710918710919</v>
      </c>
      <c r="J11" s="512">
        <f t="shared" si="4"/>
        <v>9.2047466072248077E-2</v>
      </c>
      <c r="L11" s="509" t="s">
        <v>9</v>
      </c>
      <c r="M11" s="510">
        <v>132</v>
      </c>
      <c r="N11" s="510">
        <v>140</v>
      </c>
      <c r="O11" s="510">
        <v>35</v>
      </c>
      <c r="P11" s="510">
        <v>369</v>
      </c>
      <c r="Q11" s="510">
        <v>126</v>
      </c>
      <c r="R11" s="510">
        <v>104</v>
      </c>
      <c r="S11" s="510">
        <v>31</v>
      </c>
      <c r="T11" s="510">
        <v>39</v>
      </c>
      <c r="U11" s="510">
        <v>41</v>
      </c>
      <c r="V11" s="510">
        <v>122</v>
      </c>
      <c r="W11" s="510">
        <v>68</v>
      </c>
      <c r="X11" s="510">
        <v>77</v>
      </c>
      <c r="Y11" s="510">
        <v>113</v>
      </c>
      <c r="Z11" s="510">
        <v>460</v>
      </c>
      <c r="AA11" s="510">
        <v>544</v>
      </c>
      <c r="AB11" s="510">
        <v>323</v>
      </c>
      <c r="AC11" s="510">
        <v>13</v>
      </c>
      <c r="AD11" s="510">
        <v>411</v>
      </c>
      <c r="AE11" s="511">
        <f>SUM(M11:AD11)</f>
        <v>3148</v>
      </c>
    </row>
    <row r="12" spans="1:31" ht="18.75" customHeight="1" x14ac:dyDescent="0.15">
      <c r="A12" s="721" t="s">
        <v>6</v>
      </c>
      <c r="B12" s="507">
        <f>M8+N8+O8</f>
        <v>282</v>
      </c>
      <c r="C12" s="507">
        <f>P8+Q8</f>
        <v>303</v>
      </c>
      <c r="D12" s="507">
        <f>R8+S8+T8+U8</f>
        <v>264</v>
      </c>
      <c r="E12" s="507">
        <f>V8+W8</f>
        <v>246</v>
      </c>
      <c r="F12" s="507">
        <f>X8+Y8</f>
        <v>223</v>
      </c>
      <c r="G12" s="507">
        <f>Z8+AA8+AB8</f>
        <v>747</v>
      </c>
      <c r="H12" s="507">
        <f>AC8</f>
        <v>22</v>
      </c>
      <c r="I12" s="507">
        <f>AD8</f>
        <v>337</v>
      </c>
      <c r="J12" s="508">
        <f>SUM(B12:I12)</f>
        <v>2424</v>
      </c>
      <c r="L12" s="509" t="s">
        <v>10</v>
      </c>
      <c r="M12" s="510">
        <v>24</v>
      </c>
      <c r="N12" s="510">
        <v>20</v>
      </c>
      <c r="O12" s="510">
        <v>1</v>
      </c>
      <c r="P12" s="510">
        <v>93</v>
      </c>
      <c r="Q12" s="510">
        <v>22</v>
      </c>
      <c r="R12" s="510">
        <v>27</v>
      </c>
      <c r="S12" s="510">
        <v>6</v>
      </c>
      <c r="T12" s="510">
        <v>2</v>
      </c>
      <c r="U12" s="510">
        <v>6</v>
      </c>
      <c r="V12" s="510">
        <v>17</v>
      </c>
      <c r="W12" s="510">
        <v>12</v>
      </c>
      <c r="X12" s="510">
        <v>10</v>
      </c>
      <c r="Y12" s="510">
        <v>28</v>
      </c>
      <c r="Z12" s="510">
        <v>105</v>
      </c>
      <c r="AA12" s="510">
        <v>185</v>
      </c>
      <c r="AB12" s="510">
        <v>94</v>
      </c>
      <c r="AC12" s="510"/>
      <c r="AD12" s="510">
        <v>56</v>
      </c>
      <c r="AE12" s="511">
        <f>SUM(M12:AD12)</f>
        <v>708</v>
      </c>
    </row>
    <row r="13" spans="1:31" ht="18.75" customHeight="1" x14ac:dyDescent="0.15">
      <c r="A13" s="722"/>
      <c r="B13" s="512">
        <f>B12/B$22</f>
        <v>0.1647196261682243</v>
      </c>
      <c r="C13" s="512">
        <f t="shared" ref="C13:J13" si="5">C12/C$22</f>
        <v>0.15334008097165991</v>
      </c>
      <c r="D13" s="512">
        <f t="shared" si="5"/>
        <v>0.19213973799126638</v>
      </c>
      <c r="E13" s="512">
        <f t="shared" si="5"/>
        <v>0.18678815489749431</v>
      </c>
      <c r="F13" s="512">
        <f t="shared" si="5"/>
        <v>0.18071312803889789</v>
      </c>
      <c r="G13" s="512">
        <f t="shared" si="5"/>
        <v>0.13848720800889877</v>
      </c>
      <c r="H13" s="512">
        <f t="shared" si="5"/>
        <v>0.1317365269461078</v>
      </c>
      <c r="I13" s="512">
        <f t="shared" si="5"/>
        <v>0.1620971620971621</v>
      </c>
      <c r="J13" s="512">
        <f t="shared" si="5"/>
        <v>0.15891955680849668</v>
      </c>
      <c r="L13" s="509" t="s">
        <v>262</v>
      </c>
      <c r="M13" s="510">
        <f>SUM(M4:M12)</f>
        <v>510</v>
      </c>
      <c r="N13" s="510">
        <f t="shared" ref="N13:AD13" si="6">SUM(N4:N12)</f>
        <v>880</v>
      </c>
      <c r="O13" s="510">
        <f t="shared" si="6"/>
        <v>322</v>
      </c>
      <c r="P13" s="510">
        <f t="shared" si="6"/>
        <v>1325</v>
      </c>
      <c r="Q13" s="510">
        <f t="shared" si="6"/>
        <v>651</v>
      </c>
      <c r="R13" s="510">
        <f t="shared" si="6"/>
        <v>739</v>
      </c>
      <c r="S13" s="510">
        <f t="shared" si="6"/>
        <v>227</v>
      </c>
      <c r="T13" s="510">
        <f t="shared" si="6"/>
        <v>220</v>
      </c>
      <c r="U13" s="510">
        <f t="shared" si="6"/>
        <v>188</v>
      </c>
      <c r="V13" s="510">
        <f t="shared" si="6"/>
        <v>769</v>
      </c>
      <c r="W13" s="510">
        <f t="shared" si="6"/>
        <v>548</v>
      </c>
      <c r="X13" s="510">
        <f t="shared" si="6"/>
        <v>467</v>
      </c>
      <c r="Y13" s="510">
        <f t="shared" si="6"/>
        <v>767</v>
      </c>
      <c r="Z13" s="510">
        <f t="shared" si="6"/>
        <v>1693</v>
      </c>
      <c r="AA13" s="510">
        <f t="shared" si="6"/>
        <v>2429</v>
      </c>
      <c r="AB13" s="510">
        <f t="shared" si="6"/>
        <v>1272</v>
      </c>
      <c r="AC13" s="510">
        <f t="shared" si="6"/>
        <v>167</v>
      </c>
      <c r="AD13" s="510">
        <f t="shared" si="6"/>
        <v>2079</v>
      </c>
      <c r="AE13" s="511">
        <f>SUM(AE4:AE12)</f>
        <v>15253</v>
      </c>
    </row>
    <row r="14" spans="1:31" ht="18.75" customHeight="1" x14ac:dyDescent="0.15">
      <c r="A14" s="721" t="s">
        <v>7</v>
      </c>
      <c r="B14" s="507">
        <f>M9+N9+O9</f>
        <v>331</v>
      </c>
      <c r="C14" s="507">
        <f>P9+Q9</f>
        <v>299</v>
      </c>
      <c r="D14" s="507">
        <f>R9+S9+T9+U9</f>
        <v>198</v>
      </c>
      <c r="E14" s="507">
        <f>V9+W9</f>
        <v>264</v>
      </c>
      <c r="F14" s="507">
        <f>X9+Y9</f>
        <v>262</v>
      </c>
      <c r="G14" s="507">
        <f>Z9+AA9+AB9</f>
        <v>912</v>
      </c>
      <c r="H14" s="507">
        <f>AC9</f>
        <v>18</v>
      </c>
      <c r="I14" s="507">
        <f>AD9</f>
        <v>332</v>
      </c>
      <c r="J14" s="508">
        <f>SUM(B14:I14)</f>
        <v>2616</v>
      </c>
    </row>
    <row r="15" spans="1:31" ht="18.75" customHeight="1" x14ac:dyDescent="0.15">
      <c r="A15" s="722"/>
      <c r="B15" s="512">
        <f>B14/B$22</f>
        <v>0.19334112149532709</v>
      </c>
      <c r="C15" s="512">
        <f t="shared" ref="C15:J15" si="7">C14/C$22</f>
        <v>0.15131578947368421</v>
      </c>
      <c r="D15" s="512">
        <f t="shared" si="7"/>
        <v>0.14410480349344978</v>
      </c>
      <c r="E15" s="512">
        <f t="shared" si="7"/>
        <v>0.20045558086560364</v>
      </c>
      <c r="F15" s="512">
        <f t="shared" si="7"/>
        <v>0.21231766612641814</v>
      </c>
      <c r="G15" s="512">
        <f t="shared" si="7"/>
        <v>0.16907675194660735</v>
      </c>
      <c r="H15" s="512">
        <f t="shared" si="7"/>
        <v>0.10778443113772455</v>
      </c>
      <c r="I15" s="512">
        <f t="shared" si="7"/>
        <v>0.15969215969215969</v>
      </c>
      <c r="J15" s="512">
        <f t="shared" si="7"/>
        <v>0.17150724447649643</v>
      </c>
      <c r="L15" s="509" t="s">
        <v>156</v>
      </c>
      <c r="M15" s="511">
        <v>136</v>
      </c>
      <c r="N15" s="511">
        <v>437</v>
      </c>
      <c r="O15" s="511">
        <v>151</v>
      </c>
      <c r="P15" s="511">
        <v>422</v>
      </c>
      <c r="Q15" s="511">
        <v>264</v>
      </c>
      <c r="R15" s="511">
        <v>400</v>
      </c>
      <c r="S15" s="511">
        <v>123</v>
      </c>
      <c r="T15" s="511">
        <v>90</v>
      </c>
      <c r="U15" s="511">
        <v>62</v>
      </c>
      <c r="V15" s="511">
        <v>353</v>
      </c>
      <c r="W15" s="511">
        <v>274</v>
      </c>
      <c r="X15" s="511">
        <v>174</v>
      </c>
      <c r="Y15" s="511">
        <v>363</v>
      </c>
      <c r="Z15" s="511">
        <v>521</v>
      </c>
      <c r="AA15" s="511">
        <v>831</v>
      </c>
      <c r="AB15" s="511">
        <v>417</v>
      </c>
      <c r="AC15" s="511">
        <v>119</v>
      </c>
      <c r="AD15" s="511">
        <v>921</v>
      </c>
      <c r="AE15" s="511">
        <f>SUM(M15:AD15)</f>
        <v>6058</v>
      </c>
    </row>
    <row r="16" spans="1:31" ht="18.75" customHeight="1" x14ac:dyDescent="0.15">
      <c r="A16" s="721" t="s">
        <v>8</v>
      </c>
      <c r="B16" s="507">
        <f>M10+N10+O10</f>
        <v>464</v>
      </c>
      <c r="C16" s="507">
        <f>P10+Q10</f>
        <v>518</v>
      </c>
      <c r="D16" s="507">
        <f>R10+S10+T10+U10</f>
        <v>331</v>
      </c>
      <c r="E16" s="507">
        <f>V10+W10</f>
        <v>338</v>
      </c>
      <c r="F16" s="507">
        <f>X10+Y10</f>
        <v>330</v>
      </c>
      <c r="G16" s="507">
        <f>Z10+AA10+AB10</f>
        <v>1406</v>
      </c>
      <c r="H16" s="507">
        <f>AC10</f>
        <v>27</v>
      </c>
      <c r="I16" s="507">
        <f>AD10</f>
        <v>517</v>
      </c>
      <c r="J16" s="508">
        <f>SUM(B16:I16)</f>
        <v>3931</v>
      </c>
      <c r="L16" s="509" t="s">
        <v>265</v>
      </c>
      <c r="M16" s="511">
        <v>374</v>
      </c>
      <c r="N16" s="511">
        <v>443</v>
      </c>
      <c r="O16" s="511">
        <v>171</v>
      </c>
      <c r="P16" s="511">
        <v>903</v>
      </c>
      <c r="Q16" s="511">
        <v>387</v>
      </c>
      <c r="R16" s="511">
        <v>339</v>
      </c>
      <c r="S16" s="511">
        <v>104</v>
      </c>
      <c r="T16" s="511">
        <v>130</v>
      </c>
      <c r="U16" s="511">
        <v>126</v>
      </c>
      <c r="V16" s="511">
        <v>416</v>
      </c>
      <c r="W16" s="511">
        <v>274</v>
      </c>
      <c r="X16" s="511">
        <v>293</v>
      </c>
      <c r="Y16" s="511">
        <v>404</v>
      </c>
      <c r="Z16" s="511">
        <v>1172</v>
      </c>
      <c r="AA16" s="511">
        <v>1598</v>
      </c>
      <c r="AB16" s="511">
        <v>855</v>
      </c>
      <c r="AC16" s="511">
        <v>48</v>
      </c>
      <c r="AD16" s="511">
        <v>1158</v>
      </c>
      <c r="AE16" s="511">
        <f>SUM(M16:AD16)</f>
        <v>9195</v>
      </c>
    </row>
    <row r="17" spans="1:19" ht="18.75" customHeight="1" x14ac:dyDescent="0.15">
      <c r="A17" s="722"/>
      <c r="B17" s="512">
        <f>B16/B$22</f>
        <v>0.27102803738317754</v>
      </c>
      <c r="C17" s="512">
        <f t="shared" ref="C17:J17" si="8">C16/C$22</f>
        <v>0.26214574898785425</v>
      </c>
      <c r="D17" s="512">
        <f t="shared" si="8"/>
        <v>0.24090247452692867</v>
      </c>
      <c r="E17" s="512">
        <f t="shared" si="8"/>
        <v>0.25664388762338647</v>
      </c>
      <c r="F17" s="512">
        <f t="shared" si="8"/>
        <v>0.26742301458670986</v>
      </c>
      <c r="G17" s="512">
        <f t="shared" si="8"/>
        <v>0.26065999258435296</v>
      </c>
      <c r="H17" s="512">
        <f t="shared" si="8"/>
        <v>0.16167664670658682</v>
      </c>
      <c r="I17" s="512">
        <f t="shared" si="8"/>
        <v>0.24867724867724866</v>
      </c>
      <c r="J17" s="512">
        <f t="shared" si="8"/>
        <v>0.25771979282764046</v>
      </c>
    </row>
    <row r="18" spans="1:19" ht="18.75" customHeight="1" x14ac:dyDescent="0.15">
      <c r="A18" s="721" t="s">
        <v>9</v>
      </c>
      <c r="B18" s="507">
        <f>M11+N11+O11</f>
        <v>307</v>
      </c>
      <c r="C18" s="507">
        <f>P11+Q11</f>
        <v>495</v>
      </c>
      <c r="D18" s="507">
        <f>R11+S11+T11+U11</f>
        <v>215</v>
      </c>
      <c r="E18" s="507">
        <f>V11+W11</f>
        <v>190</v>
      </c>
      <c r="F18" s="507">
        <f>X11+Y11</f>
        <v>190</v>
      </c>
      <c r="G18" s="507">
        <f>Z11+AA11+AB11</f>
        <v>1327</v>
      </c>
      <c r="H18" s="507">
        <f>AC11</f>
        <v>13</v>
      </c>
      <c r="I18" s="507">
        <f>AD11</f>
        <v>411</v>
      </c>
      <c r="J18" s="508">
        <f>SUM(B18:I18)</f>
        <v>3148</v>
      </c>
    </row>
    <row r="19" spans="1:19" ht="18.75" customHeight="1" x14ac:dyDescent="0.15">
      <c r="A19" s="722"/>
      <c r="B19" s="512">
        <f>B18/B$22</f>
        <v>0.17932242990654207</v>
      </c>
      <c r="C19" s="512">
        <f t="shared" ref="C19:J19" si="9">C18/C$22</f>
        <v>0.25050607287449395</v>
      </c>
      <c r="D19" s="512">
        <f t="shared" si="9"/>
        <v>0.1564774381368268</v>
      </c>
      <c r="E19" s="512">
        <f t="shared" si="9"/>
        <v>0.14426727410782081</v>
      </c>
      <c r="F19" s="512">
        <f t="shared" si="9"/>
        <v>0.1539708265802269</v>
      </c>
      <c r="G19" s="512">
        <f t="shared" si="9"/>
        <v>0.24601408972932889</v>
      </c>
      <c r="H19" s="512">
        <f t="shared" si="9"/>
        <v>7.7844311377245512E-2</v>
      </c>
      <c r="I19" s="512">
        <f t="shared" si="9"/>
        <v>0.1976911976911977</v>
      </c>
      <c r="J19" s="512">
        <f t="shared" si="9"/>
        <v>0.20638562905657903</v>
      </c>
    </row>
    <row r="20" spans="1:19" ht="18.75" customHeight="1" x14ac:dyDescent="0.15">
      <c r="A20" s="721" t="s">
        <v>10</v>
      </c>
      <c r="B20" s="507">
        <f>M12+N12+O12</f>
        <v>45</v>
      </c>
      <c r="C20" s="507">
        <f>P12+Q12</f>
        <v>115</v>
      </c>
      <c r="D20" s="507">
        <f>R12+S12+T12+U12</f>
        <v>41</v>
      </c>
      <c r="E20" s="507">
        <f>V12+W12</f>
        <v>29</v>
      </c>
      <c r="F20" s="507">
        <f>X12+Y12</f>
        <v>38</v>
      </c>
      <c r="G20" s="507">
        <f>Z12+AA12+AB12</f>
        <v>384</v>
      </c>
      <c r="H20" s="507">
        <f>AC12</f>
        <v>0</v>
      </c>
      <c r="I20" s="507">
        <f>AD12</f>
        <v>56</v>
      </c>
      <c r="J20" s="508">
        <f>SUM(B20:I20)</f>
        <v>708</v>
      </c>
    </row>
    <row r="21" spans="1:19" ht="18.75" customHeight="1" x14ac:dyDescent="0.15">
      <c r="A21" s="722"/>
      <c r="B21" s="512">
        <f>B20/B$22</f>
        <v>2.6285046728971962E-2</v>
      </c>
      <c r="C21" s="512">
        <f t="shared" ref="C21:J21" si="10">C20/C$22</f>
        <v>5.819838056680162E-2</v>
      </c>
      <c r="D21" s="512">
        <f t="shared" si="10"/>
        <v>2.9839883551673944E-2</v>
      </c>
      <c r="E21" s="512">
        <f t="shared" si="10"/>
        <v>2.2019741837509491E-2</v>
      </c>
      <c r="F21" s="512">
        <f t="shared" si="10"/>
        <v>3.0794165316045379E-2</v>
      </c>
      <c r="G21" s="512">
        <f t="shared" si="10"/>
        <v>7.1190211345939933E-2</v>
      </c>
      <c r="H21" s="512">
        <f t="shared" si="10"/>
        <v>0</v>
      </c>
      <c r="I21" s="512">
        <f t="shared" si="10"/>
        <v>2.6936026936026935E-2</v>
      </c>
      <c r="J21" s="512">
        <f t="shared" si="10"/>
        <v>4.6417098275749032E-2</v>
      </c>
    </row>
    <row r="22" spans="1:19" ht="18.75" customHeight="1" x14ac:dyDescent="0.15">
      <c r="A22" s="724" t="s">
        <v>161</v>
      </c>
      <c r="B22" s="620">
        <f>M13+N13+O13</f>
        <v>1712</v>
      </c>
      <c r="C22" s="620">
        <f>P13+Q13</f>
        <v>1976</v>
      </c>
      <c r="D22" s="620">
        <f>R13+S13+T13+U13</f>
        <v>1374</v>
      </c>
      <c r="E22" s="620">
        <f>V13+W13</f>
        <v>1317</v>
      </c>
      <c r="F22" s="620">
        <f>X13+Y13</f>
        <v>1234</v>
      </c>
      <c r="G22" s="620">
        <f>Z13+AA13+AB13</f>
        <v>5394</v>
      </c>
      <c r="H22" s="620">
        <f>AC13</f>
        <v>167</v>
      </c>
      <c r="I22" s="620">
        <f>AD13</f>
        <v>2079</v>
      </c>
      <c r="J22" s="621">
        <f>SUM(B22:I22)</f>
        <v>15253</v>
      </c>
    </row>
    <row r="23" spans="1:19" ht="18.75" customHeight="1" x14ac:dyDescent="0.15">
      <c r="A23" s="722"/>
      <c r="B23" s="622">
        <f>SUM(B5,B7,B9,B11,B13,B15,B17,B19,B21)</f>
        <v>1</v>
      </c>
      <c r="C23" s="622">
        <f t="shared" ref="C23:J23" si="11">SUM(C5,C7,C9,C11,C13,C15,C17,C19,C21)</f>
        <v>1</v>
      </c>
      <c r="D23" s="622">
        <f t="shared" si="11"/>
        <v>1</v>
      </c>
      <c r="E23" s="622">
        <f t="shared" si="11"/>
        <v>1</v>
      </c>
      <c r="F23" s="622">
        <f t="shared" si="11"/>
        <v>0.99999999999999989</v>
      </c>
      <c r="G23" s="622">
        <f t="shared" si="11"/>
        <v>1</v>
      </c>
      <c r="H23" s="622">
        <f t="shared" si="11"/>
        <v>1</v>
      </c>
      <c r="I23" s="622">
        <f t="shared" si="11"/>
        <v>0.99999999999999989</v>
      </c>
      <c r="J23" s="622">
        <f t="shared" si="11"/>
        <v>1</v>
      </c>
    </row>
    <row r="24" spans="1:19" ht="18.75" customHeight="1" x14ac:dyDescent="0.15">
      <c r="A24" s="721" t="s">
        <v>90</v>
      </c>
      <c r="B24" s="508">
        <f>M15+N15+O15</f>
        <v>724</v>
      </c>
      <c r="C24" s="508">
        <f>P15+Q15</f>
        <v>686</v>
      </c>
      <c r="D24" s="508">
        <f>R15+S15+T15+U15</f>
        <v>675</v>
      </c>
      <c r="E24" s="508">
        <f>V15+W15</f>
        <v>627</v>
      </c>
      <c r="F24" s="508">
        <f>X15+Y15</f>
        <v>537</v>
      </c>
      <c r="G24" s="508">
        <f>Z15+AA15+AB15</f>
        <v>1769</v>
      </c>
      <c r="H24" s="508">
        <f>AC15</f>
        <v>119</v>
      </c>
      <c r="I24" s="508">
        <f>AD15</f>
        <v>921</v>
      </c>
      <c r="J24" s="508">
        <f>SUM(B24:I24)</f>
        <v>6058</v>
      </c>
    </row>
    <row r="25" spans="1:19" ht="18.75" customHeight="1" x14ac:dyDescent="0.15">
      <c r="A25" s="722"/>
      <c r="B25" s="516">
        <f>B24/B$22</f>
        <v>0.42289719626168226</v>
      </c>
      <c r="C25" s="516">
        <f t="shared" ref="C25:J25" si="12">C24/C$22</f>
        <v>0.34716599190283398</v>
      </c>
      <c r="D25" s="516">
        <f t="shared" si="12"/>
        <v>0.49126637554585151</v>
      </c>
      <c r="E25" s="516">
        <f t="shared" si="12"/>
        <v>0.47608200455580868</v>
      </c>
      <c r="F25" s="516">
        <f t="shared" si="12"/>
        <v>0.43517017828200971</v>
      </c>
      <c r="G25" s="516">
        <f t="shared" si="12"/>
        <v>0.32795698924731181</v>
      </c>
      <c r="H25" s="516">
        <f t="shared" si="12"/>
        <v>0.71257485029940115</v>
      </c>
      <c r="I25" s="516">
        <f t="shared" si="12"/>
        <v>0.44300144300144301</v>
      </c>
      <c r="J25" s="516">
        <f t="shared" si="12"/>
        <v>0.39716777027470007</v>
      </c>
    </row>
    <row r="26" spans="1:19" ht="18.75" customHeight="1" x14ac:dyDescent="0.15">
      <c r="A26" s="721" t="s">
        <v>91</v>
      </c>
      <c r="B26" s="507">
        <f>M16+N16+O16</f>
        <v>988</v>
      </c>
      <c r="C26" s="507">
        <f>P16+Q16</f>
        <v>1290</v>
      </c>
      <c r="D26" s="507">
        <f>R16+S16+T16+U16</f>
        <v>699</v>
      </c>
      <c r="E26" s="507">
        <f>V16+W16</f>
        <v>690</v>
      </c>
      <c r="F26" s="507">
        <f>X16+Y16</f>
        <v>697</v>
      </c>
      <c r="G26" s="507">
        <f>Z16+AA16+AB16</f>
        <v>3625</v>
      </c>
      <c r="H26" s="507">
        <f>AC16</f>
        <v>48</v>
      </c>
      <c r="I26" s="507">
        <f>AD16</f>
        <v>1158</v>
      </c>
      <c r="J26" s="508">
        <f>SUM(B26:I26)</f>
        <v>9195</v>
      </c>
    </row>
    <row r="27" spans="1:19" ht="18.75" customHeight="1" x14ac:dyDescent="0.15">
      <c r="A27" s="722"/>
      <c r="B27" s="516">
        <f>B26/B$22</f>
        <v>0.57710280373831779</v>
      </c>
      <c r="C27" s="516">
        <f t="shared" ref="C27:J27" si="13">C26/C$22</f>
        <v>0.65283400809716596</v>
      </c>
      <c r="D27" s="516">
        <f t="shared" si="13"/>
        <v>0.50873362445414849</v>
      </c>
      <c r="E27" s="516">
        <f t="shared" si="13"/>
        <v>0.52391799544419138</v>
      </c>
      <c r="F27" s="516">
        <f t="shared" si="13"/>
        <v>0.56482982171799023</v>
      </c>
      <c r="G27" s="516">
        <f t="shared" si="13"/>
        <v>0.67204301075268813</v>
      </c>
      <c r="H27" s="516">
        <f t="shared" si="13"/>
        <v>0.28742514970059879</v>
      </c>
      <c r="I27" s="516">
        <f t="shared" si="13"/>
        <v>0.55699855699855705</v>
      </c>
      <c r="J27" s="516">
        <f t="shared" si="13"/>
        <v>0.60283222972529993</v>
      </c>
    </row>
    <row r="29" spans="1:19" hidden="1" x14ac:dyDescent="0.15">
      <c r="A29" s="54"/>
    </row>
    <row r="30" spans="1:19" hidden="1" x14ac:dyDescent="0.15"/>
    <row r="31" spans="1:19" hidden="1" x14ac:dyDescent="0.15">
      <c r="A31" s="377"/>
      <c r="B31" s="377"/>
      <c r="C31" s="377"/>
      <c r="D31" s="377"/>
      <c r="E31" s="377"/>
      <c r="F31" s="377"/>
      <c r="G31" s="377"/>
      <c r="H31" s="377"/>
      <c r="I31" s="377"/>
      <c r="J31" s="377"/>
      <c r="K31" s="377"/>
      <c r="L31" s="377"/>
      <c r="M31" s="377"/>
      <c r="N31" s="377"/>
      <c r="O31" s="377"/>
      <c r="P31" s="377"/>
      <c r="Q31" s="377"/>
      <c r="R31" s="377"/>
      <c r="S31" s="377"/>
    </row>
    <row r="32" spans="1:19" hidden="1" x14ac:dyDescent="0.15">
      <c r="A32" s="34"/>
      <c r="B32" s="39"/>
      <c r="C32" s="39"/>
      <c r="D32" s="39"/>
      <c r="E32" s="39"/>
      <c r="F32" s="39"/>
      <c r="G32" s="39"/>
      <c r="H32" s="39"/>
      <c r="I32" s="39"/>
      <c r="J32" s="39"/>
      <c r="K32" s="39"/>
      <c r="L32" s="39"/>
      <c r="M32" s="39"/>
      <c r="N32" s="39"/>
      <c r="O32" s="39"/>
      <c r="P32" s="39"/>
      <c r="Q32" s="39"/>
      <c r="R32" s="39"/>
      <c r="S32" s="39"/>
    </row>
    <row r="33" spans="1:19" hidden="1" x14ac:dyDescent="0.15">
      <c r="A33" s="34"/>
      <c r="B33" s="39"/>
      <c r="C33" s="39"/>
      <c r="D33" s="39"/>
      <c r="E33" s="39"/>
      <c r="F33" s="39"/>
      <c r="G33" s="39"/>
      <c r="H33" s="39"/>
      <c r="I33" s="39"/>
      <c r="J33" s="39"/>
      <c r="K33" s="39"/>
      <c r="L33" s="39"/>
      <c r="M33" s="39"/>
      <c r="N33" s="39"/>
      <c r="O33" s="39"/>
      <c r="P33" s="39"/>
      <c r="Q33" s="39"/>
      <c r="R33" s="39"/>
      <c r="S33" s="39"/>
    </row>
    <row r="34" spans="1:19" hidden="1" x14ac:dyDescent="0.15">
      <c r="A34" s="34"/>
      <c r="B34" s="39"/>
      <c r="C34" s="39"/>
      <c r="D34" s="39"/>
      <c r="E34" s="39"/>
      <c r="F34" s="39"/>
      <c r="G34" s="39"/>
      <c r="H34" s="39"/>
      <c r="I34" s="39"/>
      <c r="J34" s="39"/>
      <c r="K34" s="39"/>
      <c r="L34" s="39"/>
      <c r="M34" s="39"/>
      <c r="N34" s="39"/>
      <c r="O34" s="39"/>
      <c r="P34" s="39"/>
      <c r="Q34" s="39"/>
      <c r="R34" s="39"/>
      <c r="S34" s="39"/>
    </row>
    <row r="35" spans="1:19" hidden="1" x14ac:dyDescent="0.15">
      <c r="A35" s="34"/>
      <c r="B35" s="39"/>
      <c r="C35" s="39"/>
      <c r="D35" s="39"/>
      <c r="E35" s="39"/>
      <c r="F35" s="39"/>
      <c r="G35" s="39"/>
      <c r="H35" s="39"/>
      <c r="I35" s="39"/>
      <c r="J35" s="39"/>
      <c r="K35" s="39"/>
      <c r="L35" s="39"/>
      <c r="M35" s="39"/>
      <c r="N35" s="39"/>
      <c r="O35" s="39"/>
      <c r="P35" s="39"/>
      <c r="Q35" s="39"/>
      <c r="R35" s="39"/>
      <c r="S35" s="39"/>
    </row>
    <row r="36" spans="1:19" hidden="1" x14ac:dyDescent="0.15">
      <c r="A36" s="34"/>
      <c r="B36" s="39"/>
      <c r="C36" s="39"/>
      <c r="D36" s="39"/>
      <c r="E36" s="39"/>
      <c r="F36" s="39"/>
      <c r="G36" s="39"/>
      <c r="H36" s="39"/>
      <c r="I36" s="39"/>
      <c r="J36" s="39"/>
      <c r="K36" s="39"/>
      <c r="L36" s="39"/>
      <c r="M36" s="39"/>
      <c r="N36" s="39"/>
      <c r="O36" s="39"/>
      <c r="P36" s="39"/>
      <c r="Q36" s="39"/>
      <c r="R36" s="39"/>
      <c r="S36" s="39"/>
    </row>
    <row r="37" spans="1:19" hidden="1" x14ac:dyDescent="0.15">
      <c r="A37" s="34"/>
      <c r="B37" s="39"/>
      <c r="C37" s="39"/>
      <c r="D37" s="39"/>
      <c r="E37" s="39"/>
      <c r="F37" s="39"/>
      <c r="G37" s="39"/>
      <c r="H37" s="39"/>
      <c r="I37" s="39"/>
      <c r="J37" s="39"/>
      <c r="K37" s="39"/>
      <c r="L37" s="39"/>
      <c r="M37" s="39"/>
      <c r="N37" s="39"/>
      <c r="O37" s="39"/>
      <c r="P37" s="39"/>
      <c r="Q37" s="39"/>
      <c r="R37" s="39"/>
      <c r="S37" s="39"/>
    </row>
    <row r="38" spans="1:19" hidden="1" x14ac:dyDescent="0.15">
      <c r="A38" s="34"/>
      <c r="B38" s="39"/>
      <c r="C38" s="39"/>
      <c r="D38" s="39"/>
      <c r="E38" s="39"/>
      <c r="F38" s="39"/>
      <c r="G38" s="39"/>
      <c r="H38" s="39"/>
      <c r="I38" s="39"/>
      <c r="J38" s="39"/>
      <c r="K38" s="39"/>
      <c r="L38" s="39"/>
      <c r="M38" s="39"/>
      <c r="N38" s="39"/>
      <c r="O38" s="39"/>
      <c r="P38" s="39"/>
      <c r="Q38" s="39"/>
      <c r="R38" s="39"/>
      <c r="S38" s="39"/>
    </row>
    <row r="39" spans="1:19" hidden="1" x14ac:dyDescent="0.15">
      <c r="A39" s="34"/>
      <c r="B39" s="39"/>
      <c r="C39" s="39"/>
      <c r="D39" s="39"/>
      <c r="E39" s="39"/>
      <c r="F39" s="39"/>
      <c r="G39" s="39"/>
      <c r="H39" s="39"/>
      <c r="I39" s="39"/>
      <c r="J39" s="39"/>
      <c r="K39" s="39"/>
      <c r="L39" s="39"/>
      <c r="M39" s="39"/>
      <c r="N39" s="39"/>
      <c r="O39" s="39"/>
      <c r="P39" s="39"/>
      <c r="Q39" s="39"/>
      <c r="R39" s="39"/>
      <c r="S39" s="39"/>
    </row>
    <row r="40" spans="1:19" hidden="1" x14ac:dyDescent="0.15">
      <c r="A40" s="34"/>
      <c r="B40" s="39"/>
      <c r="C40" s="39"/>
      <c r="D40" s="39"/>
      <c r="E40" s="39"/>
      <c r="F40" s="39"/>
      <c r="G40" s="39"/>
      <c r="H40" s="39"/>
      <c r="I40" s="39"/>
      <c r="J40" s="39"/>
      <c r="K40" s="39"/>
      <c r="L40" s="39"/>
      <c r="M40" s="39"/>
      <c r="N40" s="39"/>
      <c r="O40" s="39"/>
      <c r="P40" s="39"/>
      <c r="Q40" s="39"/>
      <c r="R40" s="39"/>
      <c r="S40" s="39"/>
    </row>
    <row r="41" spans="1:19" hidden="1" x14ac:dyDescent="0.15">
      <c r="A41" s="377"/>
      <c r="B41" s="377"/>
      <c r="C41" s="377"/>
      <c r="D41" s="377"/>
      <c r="E41" s="377"/>
      <c r="F41" s="377"/>
      <c r="G41" s="377"/>
      <c r="H41" s="377"/>
      <c r="I41" s="377"/>
      <c r="J41" s="377"/>
      <c r="K41" s="377"/>
      <c r="L41" s="377"/>
      <c r="M41" s="377"/>
      <c r="N41" s="377"/>
      <c r="O41" s="377"/>
      <c r="P41" s="377"/>
      <c r="Q41" s="377"/>
      <c r="R41" s="377"/>
      <c r="S41" s="377"/>
    </row>
    <row r="42" spans="1:19" hidden="1" x14ac:dyDescent="0.15">
      <c r="A42" s="34"/>
      <c r="B42" s="39"/>
      <c r="C42" s="39"/>
      <c r="D42" s="39"/>
      <c r="E42" s="39"/>
      <c r="F42" s="39"/>
      <c r="G42" s="39"/>
      <c r="H42" s="39"/>
      <c r="I42" s="39"/>
      <c r="J42" s="39"/>
      <c r="K42" s="39"/>
      <c r="L42" s="39"/>
      <c r="M42" s="39"/>
      <c r="N42" s="39"/>
      <c r="O42" s="39"/>
      <c r="P42" s="39"/>
      <c r="Q42" s="39"/>
      <c r="R42" s="39"/>
      <c r="S42" s="39"/>
    </row>
    <row r="43" spans="1:19" hidden="1" x14ac:dyDescent="0.15"/>
  </sheetData>
  <mergeCells count="12">
    <mergeCell ref="A26:A27"/>
    <mergeCell ref="A4:A5"/>
    <mergeCell ref="A6:A7"/>
    <mergeCell ref="A8:A9"/>
    <mergeCell ref="A10:A11"/>
    <mergeCell ref="A12:A13"/>
    <mergeCell ref="A14:A15"/>
    <mergeCell ref="A16:A17"/>
    <mergeCell ref="A18:A19"/>
    <mergeCell ref="A20:A21"/>
    <mergeCell ref="A22:A23"/>
    <mergeCell ref="A24:A25"/>
  </mergeCells>
  <phoneticPr fontId="2"/>
  <printOptions horizontalCentered="1"/>
  <pageMargins left="0.70866141732283472" right="0.70866141732283472" top="0.74803149606299213" bottom="0.74803149606299213" header="0.31496062992125984" footer="0.31496062992125984"/>
  <pageSetup paperSize="9" scale="94" orientation="portrait" r:id="rId1"/>
  <ignoredErrors>
    <ignoredError sqref="B5:J11 B12:J21 J23:J25 B23:I2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Button 1">
              <controlPr defaultSize="0" print="0" autoFill="0" autoPict="0" macro="[0]!データ削除25">
                <anchor moveWithCells="1" sizeWithCells="1">
                  <from>
                    <xdr:col>32</xdr:col>
                    <xdr:colOff>76200</xdr:colOff>
                    <xdr:row>2</xdr:row>
                    <xdr:rowOff>219075</xdr:rowOff>
                  </from>
                  <to>
                    <xdr:col>34</xdr:col>
                    <xdr:colOff>19050</xdr:colOff>
                    <xdr:row>5</xdr:row>
                    <xdr:rowOff>95250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9" tint="-0.499984740745262"/>
    <pageSetUpPr fitToPage="1"/>
  </sheetPr>
  <dimension ref="A1:AF29"/>
  <sheetViews>
    <sheetView showGridLines="0" zoomScaleNormal="100" zoomScaleSheetLayoutView="90" workbookViewId="0">
      <selection activeCell="G3" sqref="G3"/>
    </sheetView>
  </sheetViews>
  <sheetFormatPr defaultColWidth="13.75" defaultRowHeight="18.75" x14ac:dyDescent="0.15"/>
  <cols>
    <col min="1" max="1" width="15.625" style="1" customWidth="1"/>
    <col min="2" max="10" width="8.75" style="1" customWidth="1"/>
    <col min="11" max="11" width="7.625" style="1" customWidth="1"/>
    <col min="12" max="12" width="14.5" style="1" hidden="1" customWidth="1"/>
    <col min="13" max="31" width="6.625" style="1" hidden="1" customWidth="1"/>
    <col min="32" max="32" width="13.75" style="1" hidden="1" customWidth="1"/>
    <col min="33" max="34" width="0" style="1" hidden="1" customWidth="1"/>
    <col min="35" max="16384" width="13.75" style="1"/>
  </cols>
  <sheetData>
    <row r="1" spans="1:31" s="3" customFormat="1" ht="19.5" x14ac:dyDescent="0.15">
      <c r="A1" s="2" t="s">
        <v>402</v>
      </c>
    </row>
    <row r="2" spans="1:31" x14ac:dyDescent="0.15">
      <c r="A2" s="4"/>
    </row>
    <row r="3" spans="1:31" ht="18.75" customHeight="1" x14ac:dyDescent="0.15">
      <c r="A3" s="506"/>
      <c r="B3" s="506" t="s">
        <v>376</v>
      </c>
      <c r="C3" s="506" t="s">
        <v>377</v>
      </c>
      <c r="D3" s="506" t="s">
        <v>378</v>
      </c>
      <c r="E3" s="506" t="s">
        <v>379</v>
      </c>
      <c r="F3" s="506" t="s">
        <v>380</v>
      </c>
      <c r="G3" s="506" t="s">
        <v>381</v>
      </c>
      <c r="H3" s="506" t="s">
        <v>382</v>
      </c>
      <c r="I3" s="506" t="s">
        <v>383</v>
      </c>
      <c r="J3" s="506" t="s">
        <v>62</v>
      </c>
      <c r="L3" s="509" t="s">
        <v>370</v>
      </c>
      <c r="M3" s="509" t="s">
        <v>384</v>
      </c>
      <c r="N3" s="509" t="s">
        <v>385</v>
      </c>
      <c r="O3" s="509" t="s">
        <v>386</v>
      </c>
      <c r="P3" s="509" t="s">
        <v>387</v>
      </c>
      <c r="Q3" s="509" t="s">
        <v>388</v>
      </c>
      <c r="R3" s="509" t="s">
        <v>389</v>
      </c>
      <c r="S3" s="509" t="s">
        <v>390</v>
      </c>
      <c r="T3" s="509" t="s">
        <v>391</v>
      </c>
      <c r="U3" s="509" t="s">
        <v>392</v>
      </c>
      <c r="V3" s="509" t="s">
        <v>393</v>
      </c>
      <c r="W3" s="509" t="s">
        <v>394</v>
      </c>
      <c r="X3" s="509" t="s">
        <v>395</v>
      </c>
      <c r="Y3" s="509" t="s">
        <v>396</v>
      </c>
      <c r="Z3" s="509" t="s">
        <v>397</v>
      </c>
      <c r="AA3" s="509" t="s">
        <v>398</v>
      </c>
      <c r="AB3" s="509" t="s">
        <v>399</v>
      </c>
      <c r="AC3" s="509" t="s">
        <v>400</v>
      </c>
      <c r="AD3" s="509" t="s">
        <v>401</v>
      </c>
      <c r="AE3" s="509" t="s">
        <v>262</v>
      </c>
    </row>
    <row r="4" spans="1:31" ht="18.75" customHeight="1" x14ac:dyDescent="0.15">
      <c r="A4" s="517" t="s">
        <v>403</v>
      </c>
      <c r="B4" s="507">
        <f>M4+N4+O4+M10+N10+O10</f>
        <v>10</v>
      </c>
      <c r="C4" s="507">
        <f>P4+Q4+P10+Q10</f>
        <v>1</v>
      </c>
      <c r="D4" s="507">
        <f>R4+S4+T4+U4+R10+S10+T10+U10</f>
        <v>20</v>
      </c>
      <c r="E4" s="507">
        <f>V4+W4+V10+W10</f>
        <v>15</v>
      </c>
      <c r="F4" s="507">
        <f>X4+Y4+X10+Y10</f>
        <v>1</v>
      </c>
      <c r="G4" s="507">
        <f>Z4+AA4+AB4+Z10+AA10+AB10</f>
        <v>14</v>
      </c>
      <c r="H4" s="507">
        <f>AC4+AC10</f>
        <v>6</v>
      </c>
      <c r="I4" s="507">
        <f>AD4+AD10</f>
        <v>24</v>
      </c>
      <c r="J4" s="508">
        <f>SUM(B4:I4)</f>
        <v>91</v>
      </c>
      <c r="L4" s="518" t="s">
        <v>371</v>
      </c>
      <c r="M4" s="60">
        <v>1</v>
      </c>
      <c r="N4" s="60">
        <v>9</v>
      </c>
      <c r="O4" s="60"/>
      <c r="P4" s="60"/>
      <c r="Q4" s="60">
        <v>1</v>
      </c>
      <c r="R4" s="60">
        <v>16</v>
      </c>
      <c r="S4" s="60">
        <v>3</v>
      </c>
      <c r="T4" s="60">
        <v>1</v>
      </c>
      <c r="U4" s="60"/>
      <c r="V4" s="60">
        <v>2</v>
      </c>
      <c r="W4" s="60">
        <v>13</v>
      </c>
      <c r="X4" s="60"/>
      <c r="Y4" s="60">
        <v>1</v>
      </c>
      <c r="Z4" s="60">
        <v>2</v>
      </c>
      <c r="AA4" s="60">
        <v>9</v>
      </c>
      <c r="AB4" s="60">
        <v>3</v>
      </c>
      <c r="AC4" s="60">
        <v>6</v>
      </c>
      <c r="AD4" s="60">
        <v>24</v>
      </c>
      <c r="AE4" s="60">
        <f>SUM(M4:AD4)</f>
        <v>91</v>
      </c>
    </row>
    <row r="5" spans="1:31" ht="18.75" customHeight="1" x14ac:dyDescent="0.15">
      <c r="A5" s="519" t="s">
        <v>374</v>
      </c>
      <c r="B5" s="512">
        <f t="shared" ref="B5:J5" si="0">B4/B$14</f>
        <v>5.8411214953271026E-3</v>
      </c>
      <c r="C5" s="512">
        <f t="shared" si="0"/>
        <v>5.0607287449392713E-4</v>
      </c>
      <c r="D5" s="512">
        <f t="shared" si="0"/>
        <v>1.4556040756914119E-2</v>
      </c>
      <c r="E5" s="512">
        <f t="shared" si="0"/>
        <v>1.1389521640091117E-2</v>
      </c>
      <c r="F5" s="512">
        <f t="shared" si="0"/>
        <v>8.1037277147487841E-4</v>
      </c>
      <c r="G5" s="512">
        <f t="shared" si="0"/>
        <v>2.5954764553207266E-3</v>
      </c>
      <c r="H5" s="512">
        <f t="shared" si="0"/>
        <v>3.5928143712574849E-2</v>
      </c>
      <c r="I5" s="512">
        <f t="shared" si="0"/>
        <v>1.1544011544011544E-2</v>
      </c>
      <c r="J5" s="512">
        <f t="shared" si="0"/>
        <v>5.9660394676457089E-3</v>
      </c>
      <c r="L5" s="518" t="s">
        <v>15</v>
      </c>
      <c r="M5" s="60">
        <v>301</v>
      </c>
      <c r="N5" s="60">
        <v>438</v>
      </c>
      <c r="O5" s="60">
        <v>147</v>
      </c>
      <c r="P5" s="60">
        <v>1063</v>
      </c>
      <c r="Q5" s="60">
        <v>345</v>
      </c>
      <c r="R5" s="60">
        <v>414</v>
      </c>
      <c r="S5" s="60">
        <v>173</v>
      </c>
      <c r="T5" s="60">
        <v>127</v>
      </c>
      <c r="U5" s="60">
        <v>56</v>
      </c>
      <c r="V5" s="60">
        <v>463</v>
      </c>
      <c r="W5" s="60">
        <v>281</v>
      </c>
      <c r="X5" s="60">
        <v>151</v>
      </c>
      <c r="Y5" s="60">
        <v>454</v>
      </c>
      <c r="Z5" s="60">
        <v>662</v>
      </c>
      <c r="AA5" s="60">
        <v>1099</v>
      </c>
      <c r="AB5" s="60">
        <v>895</v>
      </c>
      <c r="AC5" s="60">
        <v>89</v>
      </c>
      <c r="AD5" s="60">
        <v>1342</v>
      </c>
      <c r="AE5" s="60">
        <f t="shared" ref="AE5:AE10" si="1">SUM(M5:AD5)</f>
        <v>8500</v>
      </c>
    </row>
    <row r="6" spans="1:31" ht="18.75" customHeight="1" x14ac:dyDescent="0.15">
      <c r="A6" s="721" t="s">
        <v>15</v>
      </c>
      <c r="B6" s="507">
        <f>M5+N5+O5</f>
        <v>886</v>
      </c>
      <c r="C6" s="507">
        <f>P5+Q5</f>
        <v>1408</v>
      </c>
      <c r="D6" s="507">
        <f>R5+S5+T5+U5</f>
        <v>770</v>
      </c>
      <c r="E6" s="507">
        <f>V5+W5</f>
        <v>744</v>
      </c>
      <c r="F6" s="507">
        <f>X5+Y5</f>
        <v>605</v>
      </c>
      <c r="G6" s="507">
        <f>Z5+AA5+AB5</f>
        <v>2656</v>
      </c>
      <c r="H6" s="507">
        <f>AC5</f>
        <v>89</v>
      </c>
      <c r="I6" s="507">
        <f>AD5</f>
        <v>1342</v>
      </c>
      <c r="J6" s="508">
        <f>SUM(B6:I6)</f>
        <v>8500</v>
      </c>
      <c r="L6" s="518" t="s">
        <v>16</v>
      </c>
      <c r="M6" s="60">
        <v>208</v>
      </c>
      <c r="N6" s="60">
        <v>433</v>
      </c>
      <c r="O6" s="60">
        <v>175</v>
      </c>
      <c r="P6" s="60">
        <v>262</v>
      </c>
      <c r="Q6" s="60">
        <v>305</v>
      </c>
      <c r="R6" s="60">
        <v>275</v>
      </c>
      <c r="S6" s="60">
        <v>51</v>
      </c>
      <c r="T6" s="60">
        <v>92</v>
      </c>
      <c r="U6" s="60">
        <v>132</v>
      </c>
      <c r="V6" s="60">
        <v>304</v>
      </c>
      <c r="W6" s="60">
        <v>253</v>
      </c>
      <c r="X6" s="60">
        <v>316</v>
      </c>
      <c r="Y6" s="60">
        <v>312</v>
      </c>
      <c r="Z6" s="60">
        <v>1029</v>
      </c>
      <c r="AA6" s="60">
        <v>1321</v>
      </c>
      <c r="AB6" s="60">
        <v>374</v>
      </c>
      <c r="AC6" s="60">
        <v>68</v>
      </c>
      <c r="AD6" s="60">
        <v>712</v>
      </c>
      <c r="AE6" s="60">
        <f t="shared" si="1"/>
        <v>6622</v>
      </c>
    </row>
    <row r="7" spans="1:31" ht="18.75" customHeight="1" x14ac:dyDescent="0.15">
      <c r="A7" s="722"/>
      <c r="B7" s="512">
        <f t="shared" ref="B7:J7" si="2">B6/B$14</f>
        <v>0.51752336448598135</v>
      </c>
      <c r="C7" s="512">
        <f t="shared" si="2"/>
        <v>0.71255060728744934</v>
      </c>
      <c r="D7" s="512">
        <f t="shared" si="2"/>
        <v>0.56040756914119361</v>
      </c>
      <c r="E7" s="512">
        <f t="shared" si="2"/>
        <v>0.56492027334851935</v>
      </c>
      <c r="F7" s="512">
        <f t="shared" si="2"/>
        <v>0.49027552674230146</v>
      </c>
      <c r="G7" s="512">
        <f t="shared" si="2"/>
        <v>0.49239896180941789</v>
      </c>
      <c r="H7" s="512">
        <f t="shared" si="2"/>
        <v>0.53293413173652693</v>
      </c>
      <c r="I7" s="512">
        <f t="shared" si="2"/>
        <v>0.64550264550264547</v>
      </c>
      <c r="J7" s="512">
        <f t="shared" si="2"/>
        <v>0.55726742280207175</v>
      </c>
      <c r="L7" s="518" t="s">
        <v>17</v>
      </c>
      <c r="M7" s="60"/>
      <c r="N7" s="60"/>
      <c r="O7" s="60"/>
      <c r="P7" s="60"/>
      <c r="Q7" s="60"/>
      <c r="R7" s="60"/>
      <c r="S7" s="60"/>
      <c r="T7" s="60"/>
      <c r="U7" s="60"/>
      <c r="V7" s="60"/>
      <c r="W7" s="60"/>
      <c r="X7" s="60"/>
      <c r="Y7" s="60"/>
      <c r="Z7" s="60"/>
      <c r="AA7" s="60"/>
      <c r="AB7" s="60"/>
      <c r="AC7" s="60">
        <v>4</v>
      </c>
      <c r="AD7" s="60">
        <v>1</v>
      </c>
      <c r="AE7" s="60">
        <f t="shared" si="1"/>
        <v>5</v>
      </c>
    </row>
    <row r="8" spans="1:31" ht="18.75" customHeight="1" x14ac:dyDescent="0.15">
      <c r="A8" s="721" t="s">
        <v>16</v>
      </c>
      <c r="B8" s="507">
        <f>M6+N6+O6</f>
        <v>816</v>
      </c>
      <c r="C8" s="507">
        <f>P6+Q6</f>
        <v>567</v>
      </c>
      <c r="D8" s="507">
        <f>R6+S6+T6+U6</f>
        <v>550</v>
      </c>
      <c r="E8" s="507">
        <f>V6+W6</f>
        <v>557</v>
      </c>
      <c r="F8" s="507">
        <f>X6+Y6</f>
        <v>628</v>
      </c>
      <c r="G8" s="507">
        <f>Z6+AA6+AB6</f>
        <v>2724</v>
      </c>
      <c r="H8" s="507">
        <f>AC6</f>
        <v>68</v>
      </c>
      <c r="I8" s="507">
        <f>AD6</f>
        <v>712</v>
      </c>
      <c r="J8" s="508">
        <f>SUM(B8:I8)</f>
        <v>6622</v>
      </c>
      <c r="L8" s="518" t="s">
        <v>372</v>
      </c>
      <c r="M8" s="60"/>
      <c r="N8" s="60"/>
      <c r="O8" s="60"/>
      <c r="P8" s="60"/>
      <c r="Q8" s="60"/>
      <c r="R8" s="60">
        <v>1</v>
      </c>
      <c r="S8" s="60"/>
      <c r="T8" s="60"/>
      <c r="U8" s="60"/>
      <c r="V8" s="60"/>
      <c r="W8" s="60">
        <v>1</v>
      </c>
      <c r="X8" s="60"/>
      <c r="Y8" s="60"/>
      <c r="Z8" s="60"/>
      <c r="AA8" s="60"/>
      <c r="AB8" s="60"/>
      <c r="AC8" s="60"/>
      <c r="AD8" s="60"/>
      <c r="AE8" s="60">
        <f t="shared" si="1"/>
        <v>2</v>
      </c>
    </row>
    <row r="9" spans="1:31" ht="18.75" customHeight="1" x14ac:dyDescent="0.15">
      <c r="A9" s="722"/>
      <c r="B9" s="512">
        <f t="shared" ref="B9:J9" si="3">B8/B$14</f>
        <v>0.47663551401869159</v>
      </c>
      <c r="C9" s="512">
        <f t="shared" si="3"/>
        <v>0.28694331983805665</v>
      </c>
      <c r="D9" s="512">
        <f t="shared" si="3"/>
        <v>0.40029112081513829</v>
      </c>
      <c r="E9" s="512">
        <f t="shared" si="3"/>
        <v>0.42293090356871677</v>
      </c>
      <c r="F9" s="512">
        <f t="shared" si="3"/>
        <v>0.50891410048622365</v>
      </c>
      <c r="G9" s="512">
        <f t="shared" si="3"/>
        <v>0.50500556173526145</v>
      </c>
      <c r="H9" s="512">
        <f t="shared" si="3"/>
        <v>0.40718562874251496</v>
      </c>
      <c r="I9" s="512">
        <f t="shared" si="3"/>
        <v>0.34247234247234248</v>
      </c>
      <c r="J9" s="512">
        <f t="shared" si="3"/>
        <v>0.43414410279944932</v>
      </c>
      <c r="L9" s="518" t="s">
        <v>373</v>
      </c>
      <c r="M9" s="60"/>
      <c r="N9" s="60"/>
      <c r="O9" s="60"/>
      <c r="P9" s="60"/>
      <c r="Q9" s="60"/>
      <c r="R9" s="60">
        <v>33</v>
      </c>
      <c r="S9" s="60"/>
      <c r="T9" s="60"/>
      <c r="U9" s="60"/>
      <c r="V9" s="60"/>
      <c r="W9" s="60"/>
      <c r="X9" s="60"/>
      <c r="Y9" s="60"/>
      <c r="Z9" s="60"/>
      <c r="AA9" s="60"/>
      <c r="AB9" s="60"/>
      <c r="AC9" s="60"/>
      <c r="AD9" s="60"/>
      <c r="AE9" s="60">
        <f t="shared" si="1"/>
        <v>33</v>
      </c>
    </row>
    <row r="10" spans="1:31" ht="18.75" customHeight="1" x14ac:dyDescent="0.15">
      <c r="A10" s="721" t="s">
        <v>17</v>
      </c>
      <c r="B10" s="507">
        <f>M7+N7+O7</f>
        <v>0</v>
      </c>
      <c r="C10" s="507">
        <f>P7+Q7</f>
        <v>0</v>
      </c>
      <c r="D10" s="507">
        <f>R7+S7+T7+U7</f>
        <v>0</v>
      </c>
      <c r="E10" s="507">
        <f>V7+W7</f>
        <v>0</v>
      </c>
      <c r="F10" s="507">
        <f>X7+Y7</f>
        <v>0</v>
      </c>
      <c r="G10" s="507">
        <f>Z7+AA7+AB7</f>
        <v>0</v>
      </c>
      <c r="H10" s="507">
        <f>AC7</f>
        <v>4</v>
      </c>
      <c r="I10" s="507">
        <f>AD7</f>
        <v>1</v>
      </c>
      <c r="J10" s="508">
        <f>SUM(B10:I10)</f>
        <v>5</v>
      </c>
      <c r="L10" s="518" t="s">
        <v>374</v>
      </c>
      <c r="M10" s="60"/>
      <c r="N10" s="60"/>
      <c r="O10" s="60"/>
      <c r="P10" s="60"/>
      <c r="Q10" s="60"/>
      <c r="R10" s="60"/>
      <c r="S10" s="60"/>
      <c r="T10" s="60"/>
      <c r="U10" s="60"/>
      <c r="V10" s="60"/>
      <c r="W10" s="60"/>
      <c r="X10" s="60"/>
      <c r="Y10" s="60"/>
      <c r="Z10" s="60"/>
      <c r="AA10" s="60"/>
      <c r="AB10" s="60"/>
      <c r="AC10" s="60"/>
      <c r="AD10" s="60"/>
      <c r="AE10" s="60">
        <f t="shared" si="1"/>
        <v>0</v>
      </c>
    </row>
    <row r="11" spans="1:31" ht="18.75" customHeight="1" x14ac:dyDescent="0.15">
      <c r="A11" s="722"/>
      <c r="B11" s="512">
        <f t="shared" ref="B11:J11" si="4">B10/B$14</f>
        <v>0</v>
      </c>
      <c r="C11" s="512">
        <f t="shared" si="4"/>
        <v>0</v>
      </c>
      <c r="D11" s="512">
        <f t="shared" si="4"/>
        <v>0</v>
      </c>
      <c r="E11" s="512">
        <f t="shared" si="4"/>
        <v>0</v>
      </c>
      <c r="F11" s="512">
        <f t="shared" si="4"/>
        <v>0</v>
      </c>
      <c r="G11" s="512">
        <f t="shared" si="4"/>
        <v>0</v>
      </c>
      <c r="H11" s="512">
        <f t="shared" si="4"/>
        <v>2.3952095808383235E-2</v>
      </c>
      <c r="I11" s="512">
        <f t="shared" si="4"/>
        <v>4.8100048100048102E-4</v>
      </c>
      <c r="J11" s="512">
        <f t="shared" si="4"/>
        <v>3.2780436635415985E-4</v>
      </c>
      <c r="L11" s="518" t="s">
        <v>262</v>
      </c>
      <c r="M11" s="60">
        <f>SUM(M4:M10)</f>
        <v>510</v>
      </c>
      <c r="N11" s="60">
        <f>SUM(N4:N10)</f>
        <v>880</v>
      </c>
      <c r="O11" s="60">
        <f t="shared" ref="O11:AD11" si="5">SUM(O4:O10)</f>
        <v>322</v>
      </c>
      <c r="P11" s="60">
        <f t="shared" si="5"/>
        <v>1325</v>
      </c>
      <c r="Q11" s="60">
        <f t="shared" si="5"/>
        <v>651</v>
      </c>
      <c r="R11" s="60">
        <f t="shared" si="5"/>
        <v>739</v>
      </c>
      <c r="S11" s="60">
        <f t="shared" si="5"/>
        <v>227</v>
      </c>
      <c r="T11" s="60">
        <f t="shared" si="5"/>
        <v>220</v>
      </c>
      <c r="U11" s="60">
        <f t="shared" si="5"/>
        <v>188</v>
      </c>
      <c r="V11" s="60">
        <f t="shared" si="5"/>
        <v>769</v>
      </c>
      <c r="W11" s="60">
        <f t="shared" si="5"/>
        <v>548</v>
      </c>
      <c r="X11" s="60">
        <f t="shared" si="5"/>
        <v>467</v>
      </c>
      <c r="Y11" s="60">
        <f t="shared" si="5"/>
        <v>767</v>
      </c>
      <c r="Z11" s="60">
        <f t="shared" si="5"/>
        <v>1693</v>
      </c>
      <c r="AA11" s="60">
        <f t="shared" si="5"/>
        <v>2429</v>
      </c>
      <c r="AB11" s="60">
        <f t="shared" si="5"/>
        <v>1272</v>
      </c>
      <c r="AC11" s="60">
        <f t="shared" si="5"/>
        <v>167</v>
      </c>
      <c r="AD11" s="60">
        <f t="shared" si="5"/>
        <v>2079</v>
      </c>
      <c r="AE11" s="60">
        <f>SUM(AE4:AE10)</f>
        <v>15253</v>
      </c>
    </row>
    <row r="12" spans="1:31" ht="18.75" customHeight="1" x14ac:dyDescent="0.15">
      <c r="A12" s="721" t="s">
        <v>18</v>
      </c>
      <c r="B12" s="507">
        <f>M8+N8+O8+M9+N9+O9</f>
        <v>0</v>
      </c>
      <c r="C12" s="507">
        <f>P9+Q9+P8+Q8</f>
        <v>0</v>
      </c>
      <c r="D12" s="507">
        <f>R8+S8+T8+U8+R9+S9+T9+U9</f>
        <v>34</v>
      </c>
      <c r="E12" s="507">
        <f>V8+W8+V9+W9</f>
        <v>1</v>
      </c>
      <c r="F12" s="507">
        <f>X9+Y9+X8+Y8</f>
        <v>0</v>
      </c>
      <c r="G12" s="507">
        <f>Z8+AA8+AB8+Z9+AA9+AB9</f>
        <v>0</v>
      </c>
      <c r="H12" s="507">
        <f>AC8+AC9</f>
        <v>0</v>
      </c>
      <c r="I12" s="507">
        <f>AD9+AD8</f>
        <v>0</v>
      </c>
      <c r="J12" s="508">
        <f>SUM(B12:I12)</f>
        <v>35</v>
      </c>
    </row>
    <row r="13" spans="1:31" ht="18.75" customHeight="1" x14ac:dyDescent="0.15">
      <c r="A13" s="722"/>
      <c r="B13" s="512">
        <f t="shared" ref="B13:J13" si="6">B12/B$14</f>
        <v>0</v>
      </c>
      <c r="C13" s="512">
        <f t="shared" si="6"/>
        <v>0</v>
      </c>
      <c r="D13" s="512">
        <f t="shared" si="6"/>
        <v>2.4745269286754003E-2</v>
      </c>
      <c r="E13" s="512">
        <f t="shared" si="6"/>
        <v>7.5930144267274111E-4</v>
      </c>
      <c r="F13" s="512">
        <f t="shared" si="6"/>
        <v>0</v>
      </c>
      <c r="G13" s="512">
        <f t="shared" si="6"/>
        <v>0</v>
      </c>
      <c r="H13" s="512">
        <f t="shared" si="6"/>
        <v>0</v>
      </c>
      <c r="I13" s="512">
        <f t="shared" si="6"/>
        <v>0</v>
      </c>
      <c r="J13" s="512">
        <f t="shared" si="6"/>
        <v>2.294630564479119E-3</v>
      </c>
    </row>
    <row r="14" spans="1:31" ht="18.75" customHeight="1" x14ac:dyDescent="0.15">
      <c r="A14" s="724" t="s">
        <v>161</v>
      </c>
      <c r="B14" s="620">
        <f>M11+N11+O11</f>
        <v>1712</v>
      </c>
      <c r="C14" s="620">
        <f>P11+Q11</f>
        <v>1976</v>
      </c>
      <c r="D14" s="620">
        <f>R11+S11+T11+U11</f>
        <v>1374</v>
      </c>
      <c r="E14" s="620">
        <f>V11+W11</f>
        <v>1317</v>
      </c>
      <c r="F14" s="620">
        <f>X11+Y11</f>
        <v>1234</v>
      </c>
      <c r="G14" s="620">
        <f>Z11+AA11+AB11</f>
        <v>5394</v>
      </c>
      <c r="H14" s="620">
        <f>AC11</f>
        <v>167</v>
      </c>
      <c r="I14" s="620">
        <f>AD11</f>
        <v>2079</v>
      </c>
      <c r="J14" s="621">
        <f>SUM(B14:I14)</f>
        <v>15253</v>
      </c>
    </row>
    <row r="15" spans="1:31" ht="18.75" customHeight="1" x14ac:dyDescent="0.15">
      <c r="A15" s="722"/>
      <c r="B15" s="622">
        <f>SUM(B5,B7,B9,B11,B13)</f>
        <v>1</v>
      </c>
      <c r="C15" s="622">
        <f t="shared" ref="C15:J15" si="7">SUM(C5,C7,C9,C11,C13)</f>
        <v>0.99999999999999989</v>
      </c>
      <c r="D15" s="622">
        <f t="shared" si="7"/>
        <v>1</v>
      </c>
      <c r="E15" s="622">
        <f t="shared" si="7"/>
        <v>1</v>
      </c>
      <c r="F15" s="622">
        <f t="shared" si="7"/>
        <v>1</v>
      </c>
      <c r="G15" s="622">
        <f t="shared" si="7"/>
        <v>1</v>
      </c>
      <c r="H15" s="622">
        <f t="shared" si="7"/>
        <v>0.99999999999999989</v>
      </c>
      <c r="I15" s="622">
        <f t="shared" si="7"/>
        <v>1</v>
      </c>
      <c r="J15" s="622">
        <f t="shared" si="7"/>
        <v>1</v>
      </c>
    </row>
    <row r="18" spans="1:19" hidden="1" x14ac:dyDescent="0.15">
      <c r="A18" s="377"/>
      <c r="B18" s="377"/>
      <c r="C18" s="377"/>
      <c r="D18" s="377"/>
      <c r="E18" s="377"/>
      <c r="F18" s="377"/>
      <c r="G18" s="377"/>
      <c r="H18" s="377"/>
      <c r="I18" s="377"/>
    </row>
    <row r="19" spans="1:19" hidden="1" x14ac:dyDescent="0.15">
      <c r="A19" s="377"/>
      <c r="B19" s="377"/>
      <c r="C19" s="377"/>
      <c r="D19" s="377"/>
      <c r="E19" s="377"/>
      <c r="F19" s="377"/>
      <c r="G19" s="377"/>
      <c r="H19" s="377"/>
      <c r="I19" s="377"/>
      <c r="J19" s="377"/>
      <c r="K19" s="377"/>
      <c r="L19" s="377"/>
      <c r="M19" s="377"/>
      <c r="N19" s="377"/>
      <c r="O19" s="377"/>
      <c r="P19" s="377"/>
      <c r="Q19" s="377"/>
      <c r="R19" s="377"/>
      <c r="S19" s="377"/>
    </row>
    <row r="20" spans="1:19" hidden="1" x14ac:dyDescent="0.15">
      <c r="A20" s="411"/>
      <c r="B20" s="520"/>
      <c r="C20" s="520"/>
      <c r="D20" s="520"/>
      <c r="E20" s="520"/>
      <c r="F20" s="520"/>
      <c r="G20" s="520"/>
      <c r="H20" s="520"/>
      <c r="I20" s="520"/>
      <c r="J20" s="520"/>
      <c r="K20" s="520"/>
      <c r="L20" s="520"/>
      <c r="M20" s="520"/>
      <c r="N20" s="520"/>
      <c r="O20" s="520"/>
      <c r="P20" s="520"/>
      <c r="Q20" s="520"/>
      <c r="R20" s="520"/>
      <c r="S20" s="520"/>
    </row>
    <row r="21" spans="1:19" hidden="1" x14ac:dyDescent="0.15">
      <c r="A21" s="411"/>
      <c r="B21" s="520"/>
      <c r="C21" s="520"/>
      <c r="D21" s="520"/>
      <c r="E21" s="520"/>
      <c r="F21" s="520"/>
      <c r="G21" s="520"/>
      <c r="H21" s="520"/>
      <c r="I21" s="520"/>
      <c r="J21" s="520"/>
      <c r="K21" s="520"/>
      <c r="L21" s="520"/>
      <c r="M21" s="520"/>
      <c r="N21" s="520"/>
      <c r="O21" s="520"/>
      <c r="P21" s="520"/>
      <c r="Q21" s="520"/>
      <c r="R21" s="520"/>
      <c r="S21" s="520"/>
    </row>
    <row r="22" spans="1:19" hidden="1" x14ac:dyDescent="0.15">
      <c r="A22" s="411"/>
      <c r="B22" s="61"/>
      <c r="C22" s="61"/>
      <c r="D22" s="61"/>
      <c r="E22" s="61"/>
      <c r="F22" s="61"/>
      <c r="G22" s="61"/>
      <c r="H22" s="61"/>
      <c r="I22" s="61"/>
      <c r="J22" s="61"/>
      <c r="K22" s="61"/>
      <c r="L22" s="61"/>
      <c r="M22" s="61"/>
      <c r="N22" s="61"/>
      <c r="O22" s="61"/>
      <c r="P22" s="61"/>
      <c r="Q22" s="61"/>
      <c r="R22" s="61"/>
      <c r="S22" s="61"/>
    </row>
    <row r="23" spans="1:19" hidden="1" x14ac:dyDescent="0.15">
      <c r="A23" s="411"/>
      <c r="B23" s="40"/>
      <c r="C23" s="61"/>
      <c r="D23" s="61"/>
      <c r="E23" s="61"/>
      <c r="F23" s="61"/>
      <c r="G23" s="61"/>
      <c r="H23" s="61"/>
      <c r="I23" s="61"/>
      <c r="J23" s="61"/>
      <c r="K23" s="61"/>
      <c r="L23" s="61"/>
      <c r="M23" s="61"/>
      <c r="N23" s="61"/>
      <c r="O23" s="61"/>
      <c r="P23" s="61"/>
      <c r="Q23" s="61"/>
      <c r="R23" s="61"/>
      <c r="S23" s="61"/>
    </row>
    <row r="24" spans="1:19" hidden="1" x14ac:dyDescent="0.15">
      <c r="A24" s="411"/>
      <c r="B24" s="521"/>
      <c r="C24" s="520"/>
      <c r="D24" s="520"/>
      <c r="E24" s="520"/>
      <c r="F24" s="520"/>
      <c r="G24" s="520"/>
      <c r="H24" s="520"/>
      <c r="I24" s="520"/>
      <c r="J24" s="520"/>
      <c r="K24" s="520"/>
      <c r="L24" s="520"/>
      <c r="M24" s="520"/>
      <c r="N24" s="520"/>
      <c r="O24" s="520"/>
      <c r="P24" s="520"/>
      <c r="Q24" s="520"/>
      <c r="R24" s="520"/>
      <c r="S24" s="520"/>
    </row>
    <row r="25" spans="1:19" hidden="1" x14ac:dyDescent="0.15">
      <c r="A25" s="411"/>
      <c r="B25" s="521"/>
      <c r="C25" s="520"/>
      <c r="D25" s="520"/>
      <c r="E25" s="520"/>
      <c r="F25" s="520"/>
      <c r="G25" s="520"/>
      <c r="H25" s="520"/>
      <c r="I25" s="520"/>
      <c r="J25" s="520"/>
      <c r="K25" s="520"/>
      <c r="L25" s="520"/>
      <c r="M25" s="520"/>
      <c r="N25" s="520"/>
      <c r="O25" s="520"/>
      <c r="P25" s="520"/>
      <c r="Q25" s="520"/>
      <c r="R25" s="520"/>
      <c r="S25" s="520"/>
    </row>
    <row r="26" spans="1:19" hidden="1" x14ac:dyDescent="0.15">
      <c r="A26" s="54"/>
      <c r="B26" s="61"/>
      <c r="C26" s="61"/>
      <c r="D26" s="61"/>
      <c r="E26" s="61"/>
      <c r="F26" s="61"/>
      <c r="G26" s="61"/>
      <c r="H26" s="61"/>
      <c r="I26" s="61"/>
      <c r="J26" s="61"/>
      <c r="K26" s="61"/>
      <c r="L26" s="61"/>
      <c r="M26" s="61"/>
      <c r="N26" s="61"/>
      <c r="O26" s="61"/>
      <c r="P26" s="61"/>
      <c r="Q26" s="61"/>
      <c r="R26" s="61"/>
      <c r="S26" s="61"/>
    </row>
    <row r="27" spans="1:19" hidden="1" x14ac:dyDescent="0.15"/>
    <row r="28" spans="1:19" hidden="1" x14ac:dyDescent="0.15"/>
    <row r="29" spans="1:19" hidden="1" x14ac:dyDescent="0.15"/>
  </sheetData>
  <mergeCells count="5">
    <mergeCell ref="A6:A7"/>
    <mergeCell ref="A8:A9"/>
    <mergeCell ref="A10:A11"/>
    <mergeCell ref="A12:A13"/>
    <mergeCell ref="A14:A15"/>
  </mergeCells>
  <phoneticPr fontId="2"/>
  <printOptions horizontalCentered="1"/>
  <pageMargins left="0.70866141732283472" right="0.70866141732283472" top="0.74803149606299213" bottom="0.74803149606299213" header="0.31496062992125984" footer="0.31496062992125984"/>
  <pageSetup paperSize="9" scale="94" orientation="portrait" r:id="rId1"/>
  <ignoredErrors>
    <ignoredError sqref="B6:I12 J6:J12 J5 J1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utton 1">
              <controlPr defaultSize="0" print="0" autoFill="0" autoPict="0" macro="[0]!データ削除26">
                <anchor moveWithCells="1" sizeWithCells="1">
                  <from>
                    <xdr:col>31</xdr:col>
                    <xdr:colOff>600075</xdr:colOff>
                    <xdr:row>3</xdr:row>
                    <xdr:rowOff>38100</xdr:rowOff>
                  </from>
                  <to>
                    <xdr:col>33</xdr:col>
                    <xdr:colOff>257175</xdr:colOff>
                    <xdr:row>5</xdr:row>
                    <xdr:rowOff>47625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9" tint="-0.499984740745262"/>
    <pageSetUpPr fitToPage="1"/>
  </sheetPr>
  <dimension ref="A1:AH55"/>
  <sheetViews>
    <sheetView showGridLines="0" view="pageLayout" topLeftCell="A22" zoomScaleNormal="80" zoomScaleSheetLayoutView="100" workbookViewId="0">
      <selection activeCell="A3" sqref="A3:J35"/>
    </sheetView>
  </sheetViews>
  <sheetFormatPr defaultColWidth="13.75" defaultRowHeight="18.75" x14ac:dyDescent="0.15"/>
  <cols>
    <col min="1" max="1" width="27.5" style="1" customWidth="1"/>
    <col min="2" max="10" width="8.75" style="1" customWidth="1"/>
    <col min="11" max="11" width="8.625" style="1" customWidth="1"/>
    <col min="12" max="12" width="33.125" style="1" hidden="1" customWidth="1"/>
    <col min="13" max="17" width="4.75" style="1" hidden="1" customWidth="1"/>
    <col min="18" max="18" width="4.875" style="1" hidden="1" customWidth="1"/>
    <col min="19" max="31" width="4.75" style="1" hidden="1" customWidth="1"/>
    <col min="32" max="34" width="13.75" style="1" hidden="1" customWidth="1"/>
    <col min="35" max="16384" width="13.75" style="1"/>
  </cols>
  <sheetData>
    <row r="1" spans="1:31" s="3" customFormat="1" ht="19.5" x14ac:dyDescent="0.15">
      <c r="A1" s="2" t="s">
        <v>404</v>
      </c>
    </row>
    <row r="2" spans="1:31" x14ac:dyDescent="0.15">
      <c r="A2" s="4"/>
    </row>
    <row r="3" spans="1:31" ht="18.75" customHeight="1" x14ac:dyDescent="0.15">
      <c r="A3" s="506"/>
      <c r="B3" s="506" t="s">
        <v>376</v>
      </c>
      <c r="C3" s="506" t="s">
        <v>377</v>
      </c>
      <c r="D3" s="506" t="s">
        <v>378</v>
      </c>
      <c r="E3" s="506" t="s">
        <v>379</v>
      </c>
      <c r="F3" s="506" t="s">
        <v>380</v>
      </c>
      <c r="G3" s="506" t="s">
        <v>381</v>
      </c>
      <c r="H3" s="506" t="s">
        <v>382</v>
      </c>
      <c r="I3" s="506" t="s">
        <v>383</v>
      </c>
      <c r="J3" s="506" t="s">
        <v>62</v>
      </c>
      <c r="K3" s="8"/>
    </row>
    <row r="4" spans="1:31" ht="18.75" customHeight="1" x14ac:dyDescent="0.15">
      <c r="A4" s="725" t="s">
        <v>405</v>
      </c>
      <c r="B4" s="507">
        <f>B6+B8+B10</f>
        <v>326</v>
      </c>
      <c r="C4" s="507">
        <f>C6+C8+C10</f>
        <v>683</v>
      </c>
      <c r="D4" s="507">
        <f t="shared" ref="D4:I4" si="0">D6+D8+D10</f>
        <v>287</v>
      </c>
      <c r="E4" s="507">
        <f t="shared" si="0"/>
        <v>282</v>
      </c>
      <c r="F4" s="507">
        <f t="shared" si="0"/>
        <v>240</v>
      </c>
      <c r="G4" s="507">
        <f t="shared" si="0"/>
        <v>2015</v>
      </c>
      <c r="H4" s="507">
        <f>H6+H8+H10</f>
        <v>18</v>
      </c>
      <c r="I4" s="507">
        <f t="shared" si="0"/>
        <v>496</v>
      </c>
      <c r="J4" s="508">
        <f>SUM(B4:I4)</f>
        <v>4347</v>
      </c>
      <c r="K4" s="8"/>
      <c r="L4" s="34" t="s">
        <v>370</v>
      </c>
      <c r="M4" s="43" t="s">
        <v>384</v>
      </c>
      <c r="N4" s="43" t="s">
        <v>385</v>
      </c>
      <c r="O4" s="43" t="s">
        <v>386</v>
      </c>
      <c r="P4" s="43" t="s">
        <v>387</v>
      </c>
      <c r="Q4" s="43" t="s">
        <v>388</v>
      </c>
      <c r="R4" s="43" t="s">
        <v>389</v>
      </c>
      <c r="S4" s="43" t="s">
        <v>390</v>
      </c>
      <c r="T4" s="43" t="s">
        <v>391</v>
      </c>
      <c r="U4" s="43" t="s">
        <v>392</v>
      </c>
      <c r="V4" s="43" t="s">
        <v>393</v>
      </c>
      <c r="W4" s="43" t="s">
        <v>394</v>
      </c>
      <c r="X4" s="43" t="s">
        <v>395</v>
      </c>
      <c r="Y4" s="43" t="s">
        <v>396</v>
      </c>
      <c r="Z4" s="43" t="s">
        <v>397</v>
      </c>
      <c r="AA4" s="43" t="s">
        <v>398</v>
      </c>
      <c r="AB4" s="43" t="s">
        <v>399</v>
      </c>
      <c r="AC4" s="43" t="s">
        <v>400</v>
      </c>
      <c r="AD4" s="43" t="s">
        <v>401</v>
      </c>
      <c r="AE4" s="43" t="s">
        <v>262</v>
      </c>
    </row>
    <row r="5" spans="1:31" ht="18.75" customHeight="1" x14ac:dyDescent="0.15">
      <c r="A5" s="726"/>
      <c r="B5" s="512">
        <f>B4/B$34</f>
        <v>0.19042056074766356</v>
      </c>
      <c r="C5" s="512">
        <f t="shared" ref="C5:I5" si="1">C4/C$34</f>
        <v>0.3456477732793522</v>
      </c>
      <c r="D5" s="512">
        <f t="shared" si="1"/>
        <v>0.20887918486171761</v>
      </c>
      <c r="E5" s="512">
        <f t="shared" si="1"/>
        <v>0.21412300683371299</v>
      </c>
      <c r="F5" s="512">
        <f t="shared" si="1"/>
        <v>0.19448946515397084</v>
      </c>
      <c r="G5" s="512">
        <f t="shared" si="1"/>
        <v>0.37356321839080459</v>
      </c>
      <c r="H5" s="512">
        <f t="shared" si="1"/>
        <v>0.10778443113772455</v>
      </c>
      <c r="I5" s="512">
        <f t="shared" si="1"/>
        <v>0.23857623857623858</v>
      </c>
      <c r="J5" s="512">
        <f>J4/J$34</f>
        <v>0.28499311610830658</v>
      </c>
      <c r="K5" s="522"/>
      <c r="L5" s="523" t="s">
        <v>295</v>
      </c>
      <c r="M5" s="511">
        <v>89</v>
      </c>
      <c r="N5" s="511">
        <v>52</v>
      </c>
      <c r="O5" s="511">
        <v>3</v>
      </c>
      <c r="P5" s="511">
        <v>331</v>
      </c>
      <c r="Q5" s="511">
        <v>106</v>
      </c>
      <c r="R5" s="511">
        <v>79</v>
      </c>
      <c r="S5" s="511">
        <v>16</v>
      </c>
      <c r="T5" s="511">
        <v>30</v>
      </c>
      <c r="U5" s="511">
        <v>6</v>
      </c>
      <c r="V5" s="511">
        <v>70</v>
      </c>
      <c r="W5" s="511">
        <v>53</v>
      </c>
      <c r="X5" s="511">
        <v>30</v>
      </c>
      <c r="Y5" s="511">
        <v>83</v>
      </c>
      <c r="Z5" s="511">
        <v>253</v>
      </c>
      <c r="AA5" s="511">
        <v>420</v>
      </c>
      <c r="AB5" s="511">
        <v>234</v>
      </c>
      <c r="AC5" s="511">
        <v>9</v>
      </c>
      <c r="AD5" s="511">
        <v>252</v>
      </c>
      <c r="AE5" s="511">
        <f>SUM(M5:AD5)</f>
        <v>2116</v>
      </c>
    </row>
    <row r="6" spans="1:31" ht="18.75" customHeight="1" x14ac:dyDescent="0.15">
      <c r="A6" s="727" t="s">
        <v>406</v>
      </c>
      <c r="B6" s="507">
        <f>M5+N5+O5</f>
        <v>144</v>
      </c>
      <c r="C6" s="507">
        <f>P5+Q5</f>
        <v>437</v>
      </c>
      <c r="D6" s="507">
        <f>R5+S5+T5+U5</f>
        <v>131</v>
      </c>
      <c r="E6" s="507">
        <f>V5+W5</f>
        <v>123</v>
      </c>
      <c r="F6" s="507">
        <f>X5+Y5</f>
        <v>113</v>
      </c>
      <c r="G6" s="507">
        <f>Z5+AA5+AB5</f>
        <v>907</v>
      </c>
      <c r="H6" s="507">
        <f>AC5</f>
        <v>9</v>
      </c>
      <c r="I6" s="507">
        <f>AD5</f>
        <v>252</v>
      </c>
      <c r="J6" s="508">
        <f>SUM(B6:I6)</f>
        <v>2116</v>
      </c>
      <c r="K6" s="8"/>
      <c r="L6" s="523" t="s">
        <v>284</v>
      </c>
      <c r="M6" s="511">
        <v>9</v>
      </c>
      <c r="N6" s="511">
        <v>7</v>
      </c>
      <c r="O6" s="511">
        <v>1</v>
      </c>
      <c r="P6" s="511">
        <v>53</v>
      </c>
      <c r="Q6" s="511">
        <v>12</v>
      </c>
      <c r="R6" s="511">
        <v>15</v>
      </c>
      <c r="S6" s="511">
        <v>2</v>
      </c>
      <c r="T6" s="511">
        <v>2</v>
      </c>
      <c r="U6" s="511">
        <v>2</v>
      </c>
      <c r="V6" s="511">
        <v>10</v>
      </c>
      <c r="W6" s="511">
        <v>5</v>
      </c>
      <c r="X6" s="511">
        <v>2</v>
      </c>
      <c r="Y6" s="511">
        <v>9</v>
      </c>
      <c r="Z6" s="511">
        <v>19</v>
      </c>
      <c r="AA6" s="511">
        <v>83</v>
      </c>
      <c r="AB6" s="511">
        <v>70</v>
      </c>
      <c r="AC6" s="511"/>
      <c r="AD6" s="511">
        <v>35</v>
      </c>
      <c r="AE6" s="511">
        <f t="shared" ref="AE6:AE21" si="2">SUM(M6:AD6)</f>
        <v>336</v>
      </c>
    </row>
    <row r="7" spans="1:31" ht="18.75" customHeight="1" x14ac:dyDescent="0.15">
      <c r="A7" s="728"/>
      <c r="B7" s="512">
        <f>B6/B$34</f>
        <v>8.4112149532710276E-2</v>
      </c>
      <c r="C7" s="512">
        <f t="shared" ref="C7:J7" si="3">C6/C$34</f>
        <v>0.22115384615384615</v>
      </c>
      <c r="D7" s="512">
        <f t="shared" si="3"/>
        <v>9.5342066957787477E-2</v>
      </c>
      <c r="E7" s="512">
        <f t="shared" si="3"/>
        <v>9.3394077448747156E-2</v>
      </c>
      <c r="F7" s="512">
        <f t="shared" si="3"/>
        <v>9.157212317666126E-2</v>
      </c>
      <c r="G7" s="512">
        <f t="shared" si="3"/>
        <v>0.16814979606970709</v>
      </c>
      <c r="H7" s="512">
        <f t="shared" si="3"/>
        <v>5.3892215568862277E-2</v>
      </c>
      <c r="I7" s="512">
        <f t="shared" si="3"/>
        <v>0.12121212121212122</v>
      </c>
      <c r="J7" s="512">
        <f t="shared" si="3"/>
        <v>0.13872680784108044</v>
      </c>
      <c r="K7" s="522"/>
      <c r="L7" s="523" t="s">
        <v>285</v>
      </c>
      <c r="M7" s="511">
        <v>52</v>
      </c>
      <c r="N7" s="511">
        <v>96</v>
      </c>
      <c r="O7" s="511">
        <v>17</v>
      </c>
      <c r="P7" s="511">
        <v>131</v>
      </c>
      <c r="Q7" s="511">
        <v>50</v>
      </c>
      <c r="R7" s="511">
        <v>58</v>
      </c>
      <c r="S7" s="511">
        <v>39</v>
      </c>
      <c r="T7" s="511">
        <v>14</v>
      </c>
      <c r="U7" s="511">
        <v>24</v>
      </c>
      <c r="V7" s="511">
        <v>85</v>
      </c>
      <c r="W7" s="511">
        <v>59</v>
      </c>
      <c r="X7" s="511">
        <v>46</v>
      </c>
      <c r="Y7" s="511">
        <v>70</v>
      </c>
      <c r="Z7" s="511">
        <v>367</v>
      </c>
      <c r="AA7" s="511">
        <v>355</v>
      </c>
      <c r="AB7" s="511">
        <v>214</v>
      </c>
      <c r="AC7" s="511">
        <v>9</v>
      </c>
      <c r="AD7" s="511">
        <v>209</v>
      </c>
      <c r="AE7" s="511">
        <f t="shared" si="2"/>
        <v>1895</v>
      </c>
    </row>
    <row r="8" spans="1:31" ht="18.75" customHeight="1" x14ac:dyDescent="0.15">
      <c r="A8" s="727" t="s">
        <v>407</v>
      </c>
      <c r="B8" s="507">
        <f>M6+N6+O6</f>
        <v>17</v>
      </c>
      <c r="C8" s="507">
        <f>P6+Q6</f>
        <v>65</v>
      </c>
      <c r="D8" s="507">
        <f>R6+S6+T6+U6</f>
        <v>21</v>
      </c>
      <c r="E8" s="507">
        <f>V6+W6</f>
        <v>15</v>
      </c>
      <c r="F8" s="507">
        <f>X6+Y6</f>
        <v>11</v>
      </c>
      <c r="G8" s="507">
        <f>Z6+AA6+AB6</f>
        <v>172</v>
      </c>
      <c r="H8" s="507">
        <f>AC6</f>
        <v>0</v>
      </c>
      <c r="I8" s="507">
        <f>AD6</f>
        <v>35</v>
      </c>
      <c r="J8" s="508">
        <f>SUM(B8:I8)</f>
        <v>336</v>
      </c>
      <c r="K8" s="8"/>
      <c r="L8" s="523" t="s">
        <v>286</v>
      </c>
      <c r="M8" s="511">
        <v>15</v>
      </c>
      <c r="N8" s="511">
        <v>16</v>
      </c>
      <c r="O8" s="511">
        <v>2</v>
      </c>
      <c r="P8" s="511">
        <v>22</v>
      </c>
      <c r="Q8" s="511">
        <v>60</v>
      </c>
      <c r="R8" s="511">
        <v>11</v>
      </c>
      <c r="S8" s="511">
        <v>4</v>
      </c>
      <c r="T8" s="511">
        <v>3</v>
      </c>
      <c r="U8" s="511">
        <v>5</v>
      </c>
      <c r="V8" s="511">
        <v>6</v>
      </c>
      <c r="W8" s="511">
        <v>8</v>
      </c>
      <c r="X8" s="511">
        <v>7</v>
      </c>
      <c r="Y8" s="511">
        <v>31</v>
      </c>
      <c r="Z8" s="511">
        <v>301</v>
      </c>
      <c r="AA8" s="511">
        <v>100</v>
      </c>
      <c r="AB8" s="511">
        <v>24</v>
      </c>
      <c r="AC8" s="511">
        <v>5</v>
      </c>
      <c r="AD8" s="511">
        <v>76</v>
      </c>
      <c r="AE8" s="511">
        <f>SUM(M8:AD8)</f>
        <v>696</v>
      </c>
    </row>
    <row r="9" spans="1:31" ht="18.75" customHeight="1" x14ac:dyDescent="0.15">
      <c r="A9" s="728"/>
      <c r="B9" s="512">
        <f>B8/B$34</f>
        <v>9.9299065420560741E-3</v>
      </c>
      <c r="C9" s="512">
        <f t="shared" ref="C9:J9" si="4">C8/C$34</f>
        <v>3.2894736842105261E-2</v>
      </c>
      <c r="D9" s="512">
        <f t="shared" si="4"/>
        <v>1.5283842794759825E-2</v>
      </c>
      <c r="E9" s="512">
        <f t="shared" si="4"/>
        <v>1.1389521640091117E-2</v>
      </c>
      <c r="F9" s="512">
        <f t="shared" si="4"/>
        <v>8.9141004862236632E-3</v>
      </c>
      <c r="G9" s="512">
        <f t="shared" si="4"/>
        <v>3.188728216536893E-2</v>
      </c>
      <c r="H9" s="512">
        <f t="shared" si="4"/>
        <v>0</v>
      </c>
      <c r="I9" s="512">
        <f t="shared" si="4"/>
        <v>1.6835016835016835E-2</v>
      </c>
      <c r="J9" s="512">
        <f t="shared" si="4"/>
        <v>2.202845341899954E-2</v>
      </c>
      <c r="K9" s="522"/>
      <c r="L9" s="523" t="s">
        <v>200</v>
      </c>
      <c r="M9" s="511">
        <v>1</v>
      </c>
      <c r="N9" s="511">
        <v>2</v>
      </c>
      <c r="O9" s="511">
        <v>1</v>
      </c>
      <c r="P9" s="511">
        <v>1</v>
      </c>
      <c r="Q9" s="511">
        <v>1</v>
      </c>
      <c r="R9" s="511">
        <v>6</v>
      </c>
      <c r="S9" s="511"/>
      <c r="T9" s="511">
        <v>1</v>
      </c>
      <c r="U9" s="511"/>
      <c r="V9" s="511">
        <v>1</v>
      </c>
      <c r="W9" s="511"/>
      <c r="X9" s="511">
        <v>11</v>
      </c>
      <c r="Y9" s="511">
        <v>3</v>
      </c>
      <c r="Z9" s="511">
        <v>2</v>
      </c>
      <c r="AA9" s="511">
        <v>14</v>
      </c>
      <c r="AB9" s="511">
        <v>5</v>
      </c>
      <c r="AC9" s="511"/>
      <c r="AD9" s="511">
        <v>5</v>
      </c>
      <c r="AE9" s="511">
        <f t="shared" si="2"/>
        <v>54</v>
      </c>
    </row>
    <row r="10" spans="1:31" ht="18.75" customHeight="1" x14ac:dyDescent="0.15">
      <c r="A10" s="727" t="s">
        <v>408</v>
      </c>
      <c r="B10" s="507">
        <f>M7+N7+O7</f>
        <v>165</v>
      </c>
      <c r="C10" s="507">
        <f>P7+Q7</f>
        <v>181</v>
      </c>
      <c r="D10" s="507">
        <f>R7+S7+T7+U7</f>
        <v>135</v>
      </c>
      <c r="E10" s="507">
        <f>V7+W7</f>
        <v>144</v>
      </c>
      <c r="F10" s="507">
        <f>X7+Y7</f>
        <v>116</v>
      </c>
      <c r="G10" s="507">
        <f>Z7+AA7+AB7</f>
        <v>936</v>
      </c>
      <c r="H10" s="507">
        <f>AC7</f>
        <v>9</v>
      </c>
      <c r="I10" s="507">
        <f>AD7</f>
        <v>209</v>
      </c>
      <c r="J10" s="508">
        <f>SUM(B10:I10)</f>
        <v>1895</v>
      </c>
      <c r="K10" s="8"/>
      <c r="L10" s="523" t="s">
        <v>201</v>
      </c>
      <c r="M10" s="511"/>
      <c r="N10" s="511">
        <v>4</v>
      </c>
      <c r="O10" s="511"/>
      <c r="P10" s="511">
        <v>3</v>
      </c>
      <c r="Q10" s="511"/>
      <c r="R10" s="511">
        <v>8</v>
      </c>
      <c r="S10" s="511">
        <v>1</v>
      </c>
      <c r="T10" s="511"/>
      <c r="U10" s="511"/>
      <c r="V10" s="511">
        <v>1</v>
      </c>
      <c r="W10" s="511">
        <v>1</v>
      </c>
      <c r="X10" s="511"/>
      <c r="Y10" s="511">
        <v>5</v>
      </c>
      <c r="Z10" s="511">
        <v>1</v>
      </c>
      <c r="AA10" s="511">
        <v>42</v>
      </c>
      <c r="AB10" s="511">
        <v>6</v>
      </c>
      <c r="AC10" s="511">
        <v>2</v>
      </c>
      <c r="AD10" s="511">
        <v>6</v>
      </c>
      <c r="AE10" s="511">
        <f t="shared" si="2"/>
        <v>80</v>
      </c>
    </row>
    <row r="11" spans="1:31" ht="26.25" customHeight="1" x14ac:dyDescent="0.15">
      <c r="A11" s="728"/>
      <c r="B11" s="512">
        <f>B10/B$34</f>
        <v>9.63785046728972E-2</v>
      </c>
      <c r="C11" s="512">
        <f t="shared" ref="C11:J11" si="5">C10/C$34</f>
        <v>9.1599190283400814E-2</v>
      </c>
      <c r="D11" s="512">
        <f t="shared" si="5"/>
        <v>9.8253275109170299E-2</v>
      </c>
      <c r="E11" s="512">
        <f t="shared" si="5"/>
        <v>0.10933940774487472</v>
      </c>
      <c r="F11" s="512">
        <f t="shared" si="5"/>
        <v>9.4003241491085895E-2</v>
      </c>
      <c r="G11" s="512">
        <f t="shared" si="5"/>
        <v>0.17352614015572859</v>
      </c>
      <c r="H11" s="512">
        <f t="shared" si="5"/>
        <v>5.3892215568862277E-2</v>
      </c>
      <c r="I11" s="512">
        <f t="shared" si="5"/>
        <v>0.10052910052910052</v>
      </c>
      <c r="J11" s="512">
        <f t="shared" si="5"/>
        <v>0.12423785484822658</v>
      </c>
      <c r="K11" s="522"/>
      <c r="L11" s="523" t="s">
        <v>287</v>
      </c>
      <c r="M11" s="511">
        <v>275</v>
      </c>
      <c r="N11" s="511">
        <v>535</v>
      </c>
      <c r="O11" s="511">
        <v>253</v>
      </c>
      <c r="P11" s="511">
        <v>650</v>
      </c>
      <c r="Q11" s="511">
        <v>294</v>
      </c>
      <c r="R11" s="511">
        <v>422</v>
      </c>
      <c r="S11" s="511">
        <v>130</v>
      </c>
      <c r="T11" s="511">
        <v>132</v>
      </c>
      <c r="U11" s="511">
        <v>118</v>
      </c>
      <c r="V11" s="511">
        <v>440</v>
      </c>
      <c r="W11" s="511">
        <v>308</v>
      </c>
      <c r="X11" s="511">
        <v>286</v>
      </c>
      <c r="Y11" s="511">
        <v>423</v>
      </c>
      <c r="Z11" s="511">
        <v>575</v>
      </c>
      <c r="AA11" s="511">
        <v>1068</v>
      </c>
      <c r="AB11" s="511">
        <v>546</v>
      </c>
      <c r="AC11" s="511">
        <v>55</v>
      </c>
      <c r="AD11" s="511">
        <v>1076</v>
      </c>
      <c r="AE11" s="511">
        <f t="shared" si="2"/>
        <v>7586</v>
      </c>
    </row>
    <row r="12" spans="1:31" ht="18.75" customHeight="1" x14ac:dyDescent="0.15">
      <c r="A12" s="725" t="s">
        <v>20</v>
      </c>
      <c r="B12" s="507">
        <f>M8+N8+O8+M9+N9+O9+O10+M10+N10</f>
        <v>41</v>
      </c>
      <c r="C12" s="507">
        <f>P8+Q8+P9+Q9+P10+Q10</f>
        <v>87</v>
      </c>
      <c r="D12" s="507">
        <f>R8+S8+T8+U8+R9+S9+T9+U9+R10+S10+T10+U10</f>
        <v>39</v>
      </c>
      <c r="E12" s="507">
        <f>V8+W8+V9+W9+V10+W10</f>
        <v>17</v>
      </c>
      <c r="F12" s="507">
        <f>X8+Y8+X9+Y9+X10+Y10</f>
        <v>57</v>
      </c>
      <c r="G12" s="507">
        <f>Z8+AA8+AB8+Z9+AA9+AB9+Z10+AA10+AB10</f>
        <v>495</v>
      </c>
      <c r="H12" s="507">
        <f>AC8+AC9+AC10</f>
        <v>7</v>
      </c>
      <c r="I12" s="507">
        <f>AD8+AD9+AD10</f>
        <v>87</v>
      </c>
      <c r="J12" s="508">
        <f>SUM(B12:I12)</f>
        <v>830</v>
      </c>
      <c r="K12" s="8"/>
      <c r="L12" s="523" t="s">
        <v>288</v>
      </c>
      <c r="M12" s="511">
        <v>19</v>
      </c>
      <c r="N12" s="511">
        <v>62</v>
      </c>
      <c r="O12" s="511">
        <v>19</v>
      </c>
      <c r="P12" s="511">
        <v>52</v>
      </c>
      <c r="Q12" s="511">
        <v>33</v>
      </c>
      <c r="R12" s="511">
        <v>35</v>
      </c>
      <c r="S12" s="511">
        <v>10</v>
      </c>
      <c r="T12" s="511">
        <v>25</v>
      </c>
      <c r="U12" s="511">
        <v>10</v>
      </c>
      <c r="V12" s="511">
        <v>38</v>
      </c>
      <c r="W12" s="511">
        <v>54</v>
      </c>
      <c r="X12" s="511">
        <v>36</v>
      </c>
      <c r="Y12" s="511">
        <v>45</v>
      </c>
      <c r="Z12" s="511">
        <v>77</v>
      </c>
      <c r="AA12" s="511">
        <v>126</v>
      </c>
      <c r="AB12" s="511">
        <v>39</v>
      </c>
      <c r="AC12" s="511">
        <v>14</v>
      </c>
      <c r="AD12" s="511">
        <v>105</v>
      </c>
      <c r="AE12" s="511">
        <f t="shared" si="2"/>
        <v>799</v>
      </c>
    </row>
    <row r="13" spans="1:31" ht="18.75" customHeight="1" x14ac:dyDescent="0.15">
      <c r="A13" s="726"/>
      <c r="B13" s="512">
        <f>B12/B$34</f>
        <v>2.3948598130841121E-2</v>
      </c>
      <c r="C13" s="512">
        <f t="shared" ref="C13:J13" si="6">C12/C$34</f>
        <v>4.4028340080971659E-2</v>
      </c>
      <c r="D13" s="512">
        <f t="shared" si="6"/>
        <v>2.8384279475982533E-2</v>
      </c>
      <c r="E13" s="512">
        <f t="shared" si="6"/>
        <v>1.2908124525436599E-2</v>
      </c>
      <c r="F13" s="512">
        <f t="shared" si="6"/>
        <v>4.6191247974068074E-2</v>
      </c>
      <c r="G13" s="512">
        <f t="shared" si="6"/>
        <v>9.1768631813125695E-2</v>
      </c>
      <c r="H13" s="512">
        <f t="shared" si="6"/>
        <v>4.1916167664670656E-2</v>
      </c>
      <c r="I13" s="512">
        <f t="shared" si="6"/>
        <v>4.1847041847041848E-2</v>
      </c>
      <c r="J13" s="512">
        <f t="shared" si="6"/>
        <v>5.4415524814790533E-2</v>
      </c>
      <c r="K13" s="522"/>
      <c r="L13" s="523" t="s">
        <v>289</v>
      </c>
      <c r="M13" s="511">
        <v>30</v>
      </c>
      <c r="N13" s="511">
        <v>36</v>
      </c>
      <c r="O13" s="511">
        <v>13</v>
      </c>
      <c r="P13" s="511">
        <v>30</v>
      </c>
      <c r="Q13" s="511">
        <v>43</v>
      </c>
      <c r="R13" s="511">
        <v>35</v>
      </c>
      <c r="S13" s="511">
        <v>10</v>
      </c>
      <c r="T13" s="511">
        <v>5</v>
      </c>
      <c r="U13" s="511">
        <v>14</v>
      </c>
      <c r="V13" s="511">
        <v>67</v>
      </c>
      <c r="W13" s="511">
        <v>14</v>
      </c>
      <c r="X13" s="511">
        <v>18</v>
      </c>
      <c r="Y13" s="511">
        <v>46</v>
      </c>
      <c r="Z13" s="511">
        <v>45</v>
      </c>
      <c r="AA13" s="511">
        <v>61</v>
      </c>
      <c r="AB13" s="511">
        <v>66</v>
      </c>
      <c r="AC13" s="511">
        <v>22</v>
      </c>
      <c r="AD13" s="511">
        <v>175</v>
      </c>
      <c r="AE13" s="511">
        <f t="shared" si="2"/>
        <v>730</v>
      </c>
    </row>
    <row r="14" spans="1:31" ht="18.75" customHeight="1" x14ac:dyDescent="0.15">
      <c r="A14" s="725" t="s">
        <v>21</v>
      </c>
      <c r="B14" s="524">
        <f>M11+N11+O11</f>
        <v>1063</v>
      </c>
      <c r="C14" s="524">
        <f>P11+Q11</f>
        <v>944</v>
      </c>
      <c r="D14" s="524">
        <f>R11+S11+T11+U11</f>
        <v>802</v>
      </c>
      <c r="E14" s="524">
        <f>V11+W11</f>
        <v>748</v>
      </c>
      <c r="F14" s="524">
        <f>X11+Y11</f>
        <v>709</v>
      </c>
      <c r="G14" s="524">
        <f>Z11+AA11+AB11</f>
        <v>2189</v>
      </c>
      <c r="H14" s="524">
        <f>AC11</f>
        <v>55</v>
      </c>
      <c r="I14" s="524">
        <f>AD11</f>
        <v>1076</v>
      </c>
      <c r="J14" s="525">
        <f>SUM(B14:I14)</f>
        <v>7586</v>
      </c>
      <c r="K14" s="8"/>
      <c r="L14" s="523" t="s">
        <v>290</v>
      </c>
      <c r="M14" s="511">
        <v>6</v>
      </c>
      <c r="N14" s="511">
        <v>24</v>
      </c>
      <c r="O14" s="511">
        <v>4</v>
      </c>
      <c r="P14" s="511">
        <v>2</v>
      </c>
      <c r="Q14" s="511">
        <v>17</v>
      </c>
      <c r="R14" s="511">
        <v>22</v>
      </c>
      <c r="S14" s="511">
        <v>8</v>
      </c>
      <c r="T14" s="511">
        <v>2</v>
      </c>
      <c r="U14" s="511">
        <v>2</v>
      </c>
      <c r="V14" s="511">
        <v>13</v>
      </c>
      <c r="W14" s="511">
        <v>7</v>
      </c>
      <c r="X14" s="511">
        <v>13</v>
      </c>
      <c r="Y14" s="511">
        <v>15</v>
      </c>
      <c r="Z14" s="511">
        <v>13</v>
      </c>
      <c r="AA14" s="511">
        <v>35</v>
      </c>
      <c r="AB14" s="511">
        <v>13</v>
      </c>
      <c r="AC14" s="511">
        <v>22</v>
      </c>
      <c r="AD14" s="511">
        <v>30</v>
      </c>
      <c r="AE14" s="511">
        <f t="shared" si="2"/>
        <v>248</v>
      </c>
    </row>
    <row r="15" spans="1:31" ht="18.75" customHeight="1" x14ac:dyDescent="0.15">
      <c r="A15" s="726"/>
      <c r="B15" s="512">
        <f>B14/B$34</f>
        <v>0.62091121495327106</v>
      </c>
      <c r="C15" s="512">
        <f t="shared" ref="C15:J15" si="7">C14/C$34</f>
        <v>0.47773279352226722</v>
      </c>
      <c r="D15" s="512">
        <f t="shared" si="7"/>
        <v>0.58369723435225618</v>
      </c>
      <c r="E15" s="512">
        <f t="shared" si="7"/>
        <v>0.56795747911921035</v>
      </c>
      <c r="F15" s="512">
        <f t="shared" si="7"/>
        <v>0.57455429497568877</v>
      </c>
      <c r="G15" s="512">
        <f t="shared" si="7"/>
        <v>0.40582128290693364</v>
      </c>
      <c r="H15" s="512">
        <f t="shared" si="7"/>
        <v>0.32934131736526945</v>
      </c>
      <c r="I15" s="512">
        <f t="shared" si="7"/>
        <v>0.51755651755651755</v>
      </c>
      <c r="J15" s="512">
        <f t="shared" si="7"/>
        <v>0.49734478463253129</v>
      </c>
      <c r="K15" s="522"/>
      <c r="L15" s="523" t="s">
        <v>291</v>
      </c>
      <c r="M15" s="511">
        <v>1</v>
      </c>
      <c r="N15" s="511">
        <v>1</v>
      </c>
      <c r="O15" s="511"/>
      <c r="P15" s="511">
        <v>2</v>
      </c>
      <c r="Q15" s="511">
        <v>4</v>
      </c>
      <c r="R15" s="511"/>
      <c r="S15" s="511"/>
      <c r="T15" s="511"/>
      <c r="U15" s="511"/>
      <c r="V15" s="511"/>
      <c r="W15" s="511">
        <v>1</v>
      </c>
      <c r="X15" s="511">
        <v>1</v>
      </c>
      <c r="Y15" s="511">
        <v>4</v>
      </c>
      <c r="Z15" s="511">
        <v>3</v>
      </c>
      <c r="AA15" s="511">
        <v>5</v>
      </c>
      <c r="AB15" s="511"/>
      <c r="AC15" s="511">
        <v>22</v>
      </c>
      <c r="AD15" s="511">
        <v>5</v>
      </c>
      <c r="AE15" s="511">
        <f t="shared" si="2"/>
        <v>49</v>
      </c>
    </row>
    <row r="16" spans="1:31" ht="18.75" customHeight="1" x14ac:dyDescent="0.15">
      <c r="A16" s="725" t="s">
        <v>22</v>
      </c>
      <c r="B16" s="507">
        <f>M12+N12+O12+O13+M13+N13</f>
        <v>179</v>
      </c>
      <c r="C16" s="507">
        <f>P12+Q12+P13+Q13</f>
        <v>158</v>
      </c>
      <c r="D16" s="507">
        <f>R12+S12+T12+U12+R13+S13+T13+U13</f>
        <v>144</v>
      </c>
      <c r="E16" s="507">
        <f>V12+W12+V13+W13</f>
        <v>173</v>
      </c>
      <c r="F16" s="507">
        <f>X12+Y12+X13+Y13</f>
        <v>145</v>
      </c>
      <c r="G16" s="507">
        <f>Z13+AA13+AB13+Z12+AA12+AB12</f>
        <v>414</v>
      </c>
      <c r="H16" s="507">
        <f>AC12+AC13</f>
        <v>36</v>
      </c>
      <c r="I16" s="507">
        <f>AD12+AD13</f>
        <v>280</v>
      </c>
      <c r="J16" s="508">
        <f>SUM(B16:I16)</f>
        <v>1529</v>
      </c>
      <c r="K16" s="8"/>
      <c r="L16" s="523" t="s">
        <v>296</v>
      </c>
      <c r="M16" s="511">
        <v>1</v>
      </c>
      <c r="N16" s="511">
        <v>1</v>
      </c>
      <c r="O16" s="511"/>
      <c r="P16" s="511">
        <v>1</v>
      </c>
      <c r="Q16" s="511">
        <v>5</v>
      </c>
      <c r="R16" s="511">
        <v>2</v>
      </c>
      <c r="S16" s="511"/>
      <c r="T16" s="511"/>
      <c r="U16" s="511">
        <v>1</v>
      </c>
      <c r="V16" s="511">
        <v>5</v>
      </c>
      <c r="W16" s="511">
        <v>4</v>
      </c>
      <c r="X16" s="511">
        <v>1</v>
      </c>
      <c r="Y16" s="511">
        <v>7</v>
      </c>
      <c r="Z16" s="511">
        <v>3</v>
      </c>
      <c r="AA16" s="511">
        <v>10</v>
      </c>
      <c r="AB16" s="511">
        <v>4</v>
      </c>
      <c r="AC16" s="511"/>
      <c r="AD16" s="511">
        <v>5</v>
      </c>
      <c r="AE16" s="511">
        <f t="shared" si="2"/>
        <v>50</v>
      </c>
    </row>
    <row r="17" spans="1:31" ht="18.75" customHeight="1" x14ac:dyDescent="0.15">
      <c r="A17" s="726"/>
      <c r="B17" s="512">
        <f>B16/B$34</f>
        <v>0.10455607476635514</v>
      </c>
      <c r="C17" s="512">
        <f t="shared" ref="C17:J17" si="8">C16/C$34</f>
        <v>7.9959514170040491E-2</v>
      </c>
      <c r="D17" s="512">
        <f t="shared" si="8"/>
        <v>0.10480349344978165</v>
      </c>
      <c r="E17" s="512">
        <f t="shared" si="8"/>
        <v>0.1313591495823842</v>
      </c>
      <c r="F17" s="512">
        <f t="shared" si="8"/>
        <v>0.11750405186385737</v>
      </c>
      <c r="G17" s="512">
        <f t="shared" si="8"/>
        <v>7.6751946607341484E-2</v>
      </c>
      <c r="H17" s="512">
        <f t="shared" si="8"/>
        <v>0.21556886227544911</v>
      </c>
      <c r="I17" s="512">
        <f t="shared" si="8"/>
        <v>0.13468013468013468</v>
      </c>
      <c r="J17" s="512">
        <f t="shared" si="8"/>
        <v>0.10024257523110208</v>
      </c>
      <c r="K17" s="522"/>
      <c r="L17" s="523" t="s">
        <v>292</v>
      </c>
      <c r="M17" s="511">
        <v>9</v>
      </c>
      <c r="N17" s="511">
        <v>13</v>
      </c>
      <c r="O17" s="511">
        <v>2</v>
      </c>
      <c r="P17" s="511">
        <v>24</v>
      </c>
      <c r="Q17" s="511">
        <v>14</v>
      </c>
      <c r="R17" s="511">
        <v>14</v>
      </c>
      <c r="S17" s="511">
        <v>4</v>
      </c>
      <c r="T17" s="511">
        <v>4</v>
      </c>
      <c r="U17" s="511">
        <v>3</v>
      </c>
      <c r="V17" s="511">
        <v>9</v>
      </c>
      <c r="W17" s="511">
        <v>4</v>
      </c>
      <c r="X17" s="511">
        <v>6</v>
      </c>
      <c r="Y17" s="511">
        <v>9</v>
      </c>
      <c r="Z17" s="511">
        <v>23</v>
      </c>
      <c r="AA17" s="511">
        <v>67</v>
      </c>
      <c r="AB17" s="511">
        <v>37</v>
      </c>
      <c r="AC17" s="511">
        <v>3</v>
      </c>
      <c r="AD17" s="511">
        <v>36</v>
      </c>
      <c r="AE17" s="511">
        <f t="shared" si="2"/>
        <v>281</v>
      </c>
    </row>
    <row r="18" spans="1:31" ht="18.75" customHeight="1" x14ac:dyDescent="0.15">
      <c r="A18" s="725" t="s">
        <v>253</v>
      </c>
      <c r="B18" s="507">
        <f>M14+N14+O14</f>
        <v>34</v>
      </c>
      <c r="C18" s="507">
        <f>P14+Q14</f>
        <v>19</v>
      </c>
      <c r="D18" s="507">
        <f>R14+S14+T14+U14</f>
        <v>34</v>
      </c>
      <c r="E18" s="507">
        <f>V14+W14</f>
        <v>20</v>
      </c>
      <c r="F18" s="507">
        <f>X14+Y14</f>
        <v>28</v>
      </c>
      <c r="G18" s="507">
        <f>Z14+AA14+AB14</f>
        <v>61</v>
      </c>
      <c r="H18" s="507">
        <f>AC14</f>
        <v>22</v>
      </c>
      <c r="I18" s="507">
        <f>AD14</f>
        <v>30</v>
      </c>
      <c r="J18" s="508">
        <f>SUM(B18:I18)</f>
        <v>248</v>
      </c>
      <c r="K18" s="8"/>
      <c r="L18" s="523" t="s">
        <v>293</v>
      </c>
      <c r="M18" s="511"/>
      <c r="N18" s="511">
        <v>8</v>
      </c>
      <c r="O18" s="511">
        <v>1</v>
      </c>
      <c r="P18" s="511">
        <v>9</v>
      </c>
      <c r="Q18" s="511">
        <v>7</v>
      </c>
      <c r="R18" s="511">
        <v>23</v>
      </c>
      <c r="S18" s="511">
        <v>3</v>
      </c>
      <c r="T18" s="511">
        <v>1</v>
      </c>
      <c r="U18" s="511"/>
      <c r="V18" s="511">
        <v>9</v>
      </c>
      <c r="W18" s="511">
        <v>6</v>
      </c>
      <c r="X18" s="511"/>
      <c r="Y18" s="511">
        <v>7</v>
      </c>
      <c r="Z18" s="511">
        <v>7</v>
      </c>
      <c r="AA18" s="511">
        <v>11</v>
      </c>
      <c r="AB18" s="511">
        <v>5</v>
      </c>
      <c r="AC18" s="511">
        <v>1</v>
      </c>
      <c r="AD18" s="511">
        <v>26</v>
      </c>
      <c r="AE18" s="511">
        <f t="shared" si="2"/>
        <v>124</v>
      </c>
    </row>
    <row r="19" spans="1:31" ht="18.75" customHeight="1" x14ac:dyDescent="0.15">
      <c r="A19" s="726"/>
      <c r="B19" s="512">
        <f>B18/B$34</f>
        <v>1.9859813084112148E-2</v>
      </c>
      <c r="C19" s="512">
        <f t="shared" ref="C19:J19" si="9">C18/C$34</f>
        <v>9.6153846153846159E-3</v>
      </c>
      <c r="D19" s="512">
        <f t="shared" si="9"/>
        <v>2.4745269286754003E-2</v>
      </c>
      <c r="E19" s="512">
        <f t="shared" si="9"/>
        <v>1.5186028853454821E-2</v>
      </c>
      <c r="F19" s="512">
        <f t="shared" si="9"/>
        <v>2.2690437601296597E-2</v>
      </c>
      <c r="G19" s="512">
        <f t="shared" si="9"/>
        <v>1.1308861698183166E-2</v>
      </c>
      <c r="H19" s="512">
        <f t="shared" si="9"/>
        <v>0.1317365269461078</v>
      </c>
      <c r="I19" s="512">
        <f t="shared" si="9"/>
        <v>1.443001443001443E-2</v>
      </c>
      <c r="J19" s="512">
        <f t="shared" si="9"/>
        <v>1.6259096571166327E-2</v>
      </c>
      <c r="K19" s="522"/>
      <c r="L19" s="523" t="s">
        <v>297</v>
      </c>
      <c r="M19" s="511"/>
      <c r="N19" s="511">
        <v>2</v>
      </c>
      <c r="O19" s="511">
        <v>4</v>
      </c>
      <c r="P19" s="511">
        <v>2</v>
      </c>
      <c r="Q19" s="511"/>
      <c r="R19" s="511">
        <v>9</v>
      </c>
      <c r="S19" s="511"/>
      <c r="T19" s="511"/>
      <c r="U19" s="511"/>
      <c r="V19" s="511">
        <v>1</v>
      </c>
      <c r="W19" s="511"/>
      <c r="X19" s="511">
        <v>1</v>
      </c>
      <c r="Y19" s="511">
        <v>2</v>
      </c>
      <c r="Z19" s="511"/>
      <c r="AA19" s="511"/>
      <c r="AB19" s="511"/>
      <c r="AC19" s="511">
        <v>3</v>
      </c>
      <c r="AD19" s="511">
        <v>16</v>
      </c>
      <c r="AE19" s="511">
        <f t="shared" si="2"/>
        <v>40</v>
      </c>
    </row>
    <row r="20" spans="1:31" ht="18.75" customHeight="1" x14ac:dyDescent="0.15">
      <c r="A20" s="725" t="s">
        <v>254</v>
      </c>
      <c r="B20" s="507">
        <f>M15+N15+O15</f>
        <v>2</v>
      </c>
      <c r="C20" s="507">
        <f>P15+Q15</f>
        <v>6</v>
      </c>
      <c r="D20" s="507">
        <f>R15+S15+T15+U15</f>
        <v>0</v>
      </c>
      <c r="E20" s="507">
        <f>V15+W15</f>
        <v>1</v>
      </c>
      <c r="F20" s="507">
        <f>X15+Y15</f>
        <v>5</v>
      </c>
      <c r="G20" s="507">
        <f>Z15+AA15+AB15</f>
        <v>8</v>
      </c>
      <c r="H20" s="507">
        <f>AC15</f>
        <v>22</v>
      </c>
      <c r="I20" s="507">
        <f>AD15</f>
        <v>5</v>
      </c>
      <c r="J20" s="508">
        <f>SUM(B20:I20)</f>
        <v>49</v>
      </c>
      <c r="K20" s="8"/>
      <c r="L20" s="523" t="s">
        <v>294</v>
      </c>
      <c r="M20" s="511">
        <v>2</v>
      </c>
      <c r="N20" s="511">
        <v>8</v>
      </c>
      <c r="O20" s="511"/>
      <c r="P20" s="511">
        <v>6</v>
      </c>
      <c r="Q20" s="511">
        <v>3</v>
      </c>
      <c r="R20" s="511"/>
      <c r="S20" s="511"/>
      <c r="T20" s="511"/>
      <c r="U20" s="511"/>
      <c r="V20" s="511">
        <v>1</v>
      </c>
      <c r="W20" s="511">
        <v>8</v>
      </c>
      <c r="X20" s="511">
        <v>1</v>
      </c>
      <c r="Y20" s="511">
        <v>2</v>
      </c>
      <c r="Z20" s="511"/>
      <c r="AA20" s="511">
        <v>17</v>
      </c>
      <c r="AB20" s="511">
        <v>5</v>
      </c>
      <c r="AC20" s="511"/>
      <c r="AD20" s="511">
        <v>5</v>
      </c>
      <c r="AE20" s="511">
        <f t="shared" si="2"/>
        <v>58</v>
      </c>
    </row>
    <row r="21" spans="1:31" ht="18.75" customHeight="1" x14ac:dyDescent="0.15">
      <c r="A21" s="726"/>
      <c r="B21" s="512">
        <f>B20/B$34</f>
        <v>1.1682242990654205E-3</v>
      </c>
      <c r="C21" s="512">
        <f t="shared" ref="C21:J21" si="10">C20/C$34</f>
        <v>3.0364372469635628E-3</v>
      </c>
      <c r="D21" s="512">
        <f t="shared" si="10"/>
        <v>0</v>
      </c>
      <c r="E21" s="512">
        <f t="shared" si="10"/>
        <v>7.5930144267274111E-4</v>
      </c>
      <c r="F21" s="512">
        <f t="shared" si="10"/>
        <v>4.0518638573743921E-3</v>
      </c>
      <c r="G21" s="512">
        <f t="shared" si="10"/>
        <v>1.4831294030404152E-3</v>
      </c>
      <c r="H21" s="512">
        <f t="shared" si="10"/>
        <v>0.1317365269461078</v>
      </c>
      <c r="I21" s="512">
        <f t="shared" si="10"/>
        <v>2.4050024050024051E-3</v>
      </c>
      <c r="J21" s="512">
        <f t="shared" si="10"/>
        <v>3.2124827902707664E-3</v>
      </c>
      <c r="K21" s="522"/>
      <c r="L21" s="523" t="s">
        <v>18</v>
      </c>
      <c r="M21" s="511">
        <v>1</v>
      </c>
      <c r="N21" s="511">
        <v>13</v>
      </c>
      <c r="O21" s="511">
        <v>2</v>
      </c>
      <c r="P21" s="511">
        <v>6</v>
      </c>
      <c r="Q21" s="511">
        <v>2</v>
      </c>
      <c r="R21" s="511"/>
      <c r="S21" s="511"/>
      <c r="T21" s="511">
        <v>1</v>
      </c>
      <c r="U21" s="511">
        <v>3</v>
      </c>
      <c r="V21" s="511">
        <v>13</v>
      </c>
      <c r="W21" s="511">
        <v>16</v>
      </c>
      <c r="X21" s="511">
        <v>8</v>
      </c>
      <c r="Y21" s="511">
        <v>6</v>
      </c>
      <c r="Z21" s="511">
        <v>4</v>
      </c>
      <c r="AA21" s="511">
        <v>15</v>
      </c>
      <c r="AB21" s="511">
        <v>4</v>
      </c>
      <c r="AC21" s="511"/>
      <c r="AD21" s="511">
        <v>17</v>
      </c>
      <c r="AE21" s="511">
        <f t="shared" si="2"/>
        <v>111</v>
      </c>
    </row>
    <row r="22" spans="1:31" ht="18.75" customHeight="1" x14ac:dyDescent="0.15">
      <c r="A22" s="725" t="s">
        <v>409</v>
      </c>
      <c r="B22" s="507">
        <f>M16+N16+O16</f>
        <v>2</v>
      </c>
      <c r="C22" s="507">
        <f>P16+Q16</f>
        <v>6</v>
      </c>
      <c r="D22" s="507">
        <f>R16+S16+T16+U16</f>
        <v>3</v>
      </c>
      <c r="E22" s="507">
        <f>V16+W16</f>
        <v>9</v>
      </c>
      <c r="F22" s="507">
        <f>X16+Y16</f>
        <v>8</v>
      </c>
      <c r="G22" s="507">
        <f>Z16+AA16+AB16</f>
        <v>17</v>
      </c>
      <c r="H22" s="507">
        <f>AC16</f>
        <v>0</v>
      </c>
      <c r="I22" s="507">
        <f>AD16</f>
        <v>5</v>
      </c>
      <c r="J22" s="508">
        <f>SUM(B22:I22)</f>
        <v>50</v>
      </c>
      <c r="K22" s="8"/>
      <c r="L22" s="1" t="s">
        <v>262</v>
      </c>
      <c r="M22" s="511">
        <v>510</v>
      </c>
      <c r="N22" s="511">
        <v>880</v>
      </c>
      <c r="O22" s="511">
        <v>322</v>
      </c>
      <c r="P22" s="511">
        <v>1325</v>
      </c>
      <c r="Q22" s="511">
        <v>651</v>
      </c>
      <c r="R22" s="511">
        <v>739</v>
      </c>
      <c r="S22" s="511">
        <v>227</v>
      </c>
      <c r="T22" s="511">
        <v>220</v>
      </c>
      <c r="U22" s="511">
        <v>188</v>
      </c>
      <c r="V22" s="511">
        <v>769</v>
      </c>
      <c r="W22" s="511">
        <v>548</v>
      </c>
      <c r="X22" s="511">
        <v>467</v>
      </c>
      <c r="Y22" s="511">
        <v>767</v>
      </c>
      <c r="Z22" s="511">
        <v>1693</v>
      </c>
      <c r="AA22" s="511">
        <v>2429</v>
      </c>
      <c r="AB22" s="511">
        <v>1272</v>
      </c>
      <c r="AC22" s="511">
        <v>167</v>
      </c>
      <c r="AD22" s="511">
        <v>2079</v>
      </c>
      <c r="AE22" s="511">
        <f>SUM(AE5:AE21)</f>
        <v>15253</v>
      </c>
    </row>
    <row r="23" spans="1:31" ht="18.75" customHeight="1" x14ac:dyDescent="0.15">
      <c r="A23" s="726"/>
      <c r="B23" s="512">
        <f>B22/B$34</f>
        <v>1.1682242990654205E-3</v>
      </c>
      <c r="C23" s="512">
        <f t="shared" ref="C23:J23" si="11">C22/C$34</f>
        <v>3.0364372469635628E-3</v>
      </c>
      <c r="D23" s="512">
        <f t="shared" si="11"/>
        <v>2.1834061135371178E-3</v>
      </c>
      <c r="E23" s="512">
        <f t="shared" si="11"/>
        <v>6.8337129840546698E-3</v>
      </c>
      <c r="F23" s="512">
        <f t="shared" si="11"/>
        <v>6.4829821717990272E-3</v>
      </c>
      <c r="G23" s="512">
        <f t="shared" si="11"/>
        <v>3.1516499814608825E-3</v>
      </c>
      <c r="H23" s="512">
        <f t="shared" si="11"/>
        <v>0</v>
      </c>
      <c r="I23" s="512">
        <f t="shared" si="11"/>
        <v>2.4050024050024051E-3</v>
      </c>
      <c r="J23" s="512">
        <f t="shared" si="11"/>
        <v>3.2780436635415984E-3</v>
      </c>
      <c r="K23" s="522"/>
    </row>
    <row r="24" spans="1:31" ht="18.75" customHeight="1" x14ac:dyDescent="0.15">
      <c r="A24" s="725" t="s">
        <v>410</v>
      </c>
      <c r="B24" s="507">
        <f>M17+N17+O17</f>
        <v>24</v>
      </c>
      <c r="C24" s="507">
        <f>P17+Q17</f>
        <v>38</v>
      </c>
      <c r="D24" s="507">
        <f>R17+S17+T17+U17</f>
        <v>25</v>
      </c>
      <c r="E24" s="507">
        <f>V17+W17</f>
        <v>13</v>
      </c>
      <c r="F24" s="507">
        <f>X17+Y17</f>
        <v>15</v>
      </c>
      <c r="G24" s="507">
        <f>Z17+AA17+AB17</f>
        <v>127</v>
      </c>
      <c r="H24" s="507">
        <f>AC17</f>
        <v>3</v>
      </c>
      <c r="I24" s="507">
        <f>AD17</f>
        <v>36</v>
      </c>
      <c r="J24" s="508">
        <f>SUM(B24:I24)</f>
        <v>281</v>
      </c>
      <c r="K24" s="8"/>
    </row>
    <row r="25" spans="1:31" ht="18.75" customHeight="1" x14ac:dyDescent="0.15">
      <c r="A25" s="726"/>
      <c r="B25" s="512">
        <f>B24/B$34</f>
        <v>1.4018691588785047E-2</v>
      </c>
      <c r="C25" s="512">
        <f t="shared" ref="C25:J25" si="12">C24/C$34</f>
        <v>1.9230769230769232E-2</v>
      </c>
      <c r="D25" s="512">
        <f t="shared" si="12"/>
        <v>1.8195050946142648E-2</v>
      </c>
      <c r="E25" s="512">
        <f t="shared" si="12"/>
        <v>9.8709187547456334E-3</v>
      </c>
      <c r="F25" s="512">
        <f t="shared" si="12"/>
        <v>1.2155591572123177E-2</v>
      </c>
      <c r="G25" s="512">
        <f t="shared" si="12"/>
        <v>2.3544679273266592E-2</v>
      </c>
      <c r="H25" s="512">
        <f t="shared" si="12"/>
        <v>1.7964071856287425E-2</v>
      </c>
      <c r="I25" s="512">
        <f t="shared" si="12"/>
        <v>1.7316017316017316E-2</v>
      </c>
      <c r="J25" s="512">
        <f t="shared" si="12"/>
        <v>1.8422605389103782E-2</v>
      </c>
      <c r="K25" s="522"/>
    </row>
    <row r="26" spans="1:31" ht="18.75" customHeight="1" x14ac:dyDescent="0.15">
      <c r="A26" s="725" t="s">
        <v>83</v>
      </c>
      <c r="B26" s="507">
        <f>M18+N18+O18</f>
        <v>9</v>
      </c>
      <c r="C26" s="507">
        <f>P18+Q18</f>
        <v>16</v>
      </c>
      <c r="D26" s="507">
        <f>R18+S18+T18+U18</f>
        <v>27</v>
      </c>
      <c r="E26" s="507">
        <f>V18+W18</f>
        <v>15</v>
      </c>
      <c r="F26" s="507">
        <f>X18+Y18</f>
        <v>7</v>
      </c>
      <c r="G26" s="507">
        <f>Z18+AA18+AB18</f>
        <v>23</v>
      </c>
      <c r="H26" s="507">
        <f>AC18</f>
        <v>1</v>
      </c>
      <c r="I26" s="507">
        <f>AD18</f>
        <v>26</v>
      </c>
      <c r="J26" s="508">
        <f>SUM(B26:I26)</f>
        <v>124</v>
      </c>
      <c r="K26" s="8"/>
    </row>
    <row r="27" spans="1:31" ht="18.75" customHeight="1" x14ac:dyDescent="0.15">
      <c r="A27" s="726"/>
      <c r="B27" s="512">
        <f>B26/B$34</f>
        <v>5.2570093457943922E-3</v>
      </c>
      <c r="C27" s="512">
        <f t="shared" ref="C27:J27" si="13">C26/C$34</f>
        <v>8.0971659919028341E-3</v>
      </c>
      <c r="D27" s="512">
        <f t="shared" si="13"/>
        <v>1.9650655021834062E-2</v>
      </c>
      <c r="E27" s="512">
        <f t="shared" si="13"/>
        <v>1.1389521640091117E-2</v>
      </c>
      <c r="F27" s="512">
        <f t="shared" si="13"/>
        <v>5.6726094003241492E-3</v>
      </c>
      <c r="G27" s="512">
        <f t="shared" si="13"/>
        <v>4.2639970337411941E-3</v>
      </c>
      <c r="H27" s="512">
        <f t="shared" si="13"/>
        <v>5.9880239520958087E-3</v>
      </c>
      <c r="I27" s="512">
        <f t="shared" si="13"/>
        <v>1.2506012506012507E-2</v>
      </c>
      <c r="J27" s="512">
        <f t="shared" si="13"/>
        <v>8.1295482855831634E-3</v>
      </c>
      <c r="K27" s="522"/>
    </row>
    <row r="28" spans="1:31" ht="18.75" customHeight="1" x14ac:dyDescent="0.15">
      <c r="A28" s="725" t="s">
        <v>411</v>
      </c>
      <c r="B28" s="507">
        <f>M19+N19+O19</f>
        <v>6</v>
      </c>
      <c r="C28" s="507">
        <f>P19+Q19</f>
        <v>2</v>
      </c>
      <c r="D28" s="507">
        <f>R19+S19+T19+U19</f>
        <v>9</v>
      </c>
      <c r="E28" s="507">
        <f>V19+W19</f>
        <v>1</v>
      </c>
      <c r="F28" s="507">
        <f>X19+Y19</f>
        <v>3</v>
      </c>
      <c r="G28" s="507">
        <f>Z19+AA19+AB19</f>
        <v>0</v>
      </c>
      <c r="H28" s="507">
        <f>AC19</f>
        <v>3</v>
      </c>
      <c r="I28" s="507">
        <f>AD19</f>
        <v>16</v>
      </c>
      <c r="J28" s="508">
        <f>SUM(B28:I28)</f>
        <v>40</v>
      </c>
      <c r="K28" s="8"/>
    </row>
    <row r="29" spans="1:31" ht="26.25" customHeight="1" x14ac:dyDescent="0.15">
      <c r="A29" s="726"/>
      <c r="B29" s="512">
        <f>B28/B$34</f>
        <v>3.5046728971962616E-3</v>
      </c>
      <c r="C29" s="512">
        <f t="shared" ref="C29:J29" si="14">C28/C$34</f>
        <v>1.0121457489878543E-3</v>
      </c>
      <c r="D29" s="512">
        <f t="shared" si="14"/>
        <v>6.5502183406113534E-3</v>
      </c>
      <c r="E29" s="512">
        <f t="shared" si="14"/>
        <v>7.5930144267274111E-4</v>
      </c>
      <c r="F29" s="512">
        <f t="shared" si="14"/>
        <v>2.4311183144246355E-3</v>
      </c>
      <c r="G29" s="512">
        <f t="shared" si="14"/>
        <v>0</v>
      </c>
      <c r="H29" s="512">
        <f t="shared" si="14"/>
        <v>1.7964071856287425E-2</v>
      </c>
      <c r="I29" s="512">
        <f t="shared" si="14"/>
        <v>7.6960076960076963E-3</v>
      </c>
      <c r="J29" s="512">
        <f t="shared" si="14"/>
        <v>2.6224349308332788E-3</v>
      </c>
      <c r="K29" s="522"/>
    </row>
    <row r="30" spans="1:31" ht="18.75" customHeight="1" x14ac:dyDescent="0.15">
      <c r="A30" s="725" t="s">
        <v>123</v>
      </c>
      <c r="B30" s="507">
        <f>M20+N20+O20</f>
        <v>10</v>
      </c>
      <c r="C30" s="507">
        <f>P20+Q20</f>
        <v>9</v>
      </c>
      <c r="D30" s="507">
        <f>R20+S20+T20+U20</f>
        <v>0</v>
      </c>
      <c r="E30" s="507">
        <f>V20+W20</f>
        <v>9</v>
      </c>
      <c r="F30" s="507">
        <f>X20+Y20</f>
        <v>3</v>
      </c>
      <c r="G30" s="507">
        <f>Z20+AA20+AB20</f>
        <v>22</v>
      </c>
      <c r="H30" s="507">
        <f>AC20</f>
        <v>0</v>
      </c>
      <c r="I30" s="507">
        <f>AD20</f>
        <v>5</v>
      </c>
      <c r="J30" s="508">
        <f>SUM(B30:I30)</f>
        <v>58</v>
      </c>
      <c r="K30" s="8"/>
    </row>
    <row r="31" spans="1:31" ht="18.75" customHeight="1" x14ac:dyDescent="0.15">
      <c r="A31" s="726"/>
      <c r="B31" s="512">
        <f>B30/B$34</f>
        <v>5.8411214953271026E-3</v>
      </c>
      <c r="C31" s="512">
        <f t="shared" ref="C31:J31" si="15">C30/C$34</f>
        <v>4.5546558704453437E-3</v>
      </c>
      <c r="D31" s="512">
        <f t="shared" si="15"/>
        <v>0</v>
      </c>
      <c r="E31" s="512">
        <f t="shared" si="15"/>
        <v>6.8337129840546698E-3</v>
      </c>
      <c r="F31" s="512">
        <f t="shared" si="15"/>
        <v>2.4311183144246355E-3</v>
      </c>
      <c r="G31" s="512">
        <f t="shared" si="15"/>
        <v>4.0786058583611416E-3</v>
      </c>
      <c r="H31" s="512">
        <f t="shared" si="15"/>
        <v>0</v>
      </c>
      <c r="I31" s="512">
        <f t="shared" si="15"/>
        <v>2.4050024050024051E-3</v>
      </c>
      <c r="J31" s="512">
        <f t="shared" si="15"/>
        <v>3.8025306497082539E-3</v>
      </c>
      <c r="K31" s="522"/>
    </row>
    <row r="32" spans="1:31" ht="18.75" customHeight="1" x14ac:dyDescent="0.15">
      <c r="A32" s="725" t="s">
        <v>412</v>
      </c>
      <c r="B32" s="507">
        <f>M21+N21+O21</f>
        <v>16</v>
      </c>
      <c r="C32" s="507">
        <f>P21+Q21</f>
        <v>8</v>
      </c>
      <c r="D32" s="507">
        <f>R21+S21+T21+U21</f>
        <v>4</v>
      </c>
      <c r="E32" s="507">
        <f>V21+W21</f>
        <v>29</v>
      </c>
      <c r="F32" s="507">
        <f>X21+Y21</f>
        <v>14</v>
      </c>
      <c r="G32" s="507">
        <f>Z21+AA21+AB21</f>
        <v>23</v>
      </c>
      <c r="H32" s="507">
        <f>AC21</f>
        <v>0</v>
      </c>
      <c r="I32" s="507">
        <f>AD21</f>
        <v>17</v>
      </c>
      <c r="J32" s="508">
        <f>SUM(B32:I32)</f>
        <v>111</v>
      </c>
      <c r="K32" s="8"/>
    </row>
    <row r="33" spans="1:34" ht="18.75" customHeight="1" x14ac:dyDescent="0.15">
      <c r="A33" s="726"/>
      <c r="B33" s="512">
        <f>B32/B$34</f>
        <v>9.3457943925233638E-3</v>
      </c>
      <c r="C33" s="512">
        <f t="shared" ref="C33:J33" si="16">C32/C$34</f>
        <v>4.048582995951417E-3</v>
      </c>
      <c r="D33" s="512">
        <f t="shared" si="16"/>
        <v>2.911208151382824E-3</v>
      </c>
      <c r="E33" s="512">
        <f t="shared" si="16"/>
        <v>2.2019741837509491E-2</v>
      </c>
      <c r="F33" s="512">
        <f t="shared" si="16"/>
        <v>1.1345218800648298E-2</v>
      </c>
      <c r="G33" s="512">
        <f t="shared" si="16"/>
        <v>4.2639970337411941E-3</v>
      </c>
      <c r="H33" s="512">
        <f t="shared" si="16"/>
        <v>0</v>
      </c>
      <c r="I33" s="512">
        <f t="shared" si="16"/>
        <v>8.1770081770081767E-3</v>
      </c>
      <c r="J33" s="512">
        <f t="shared" si="16"/>
        <v>7.277256933062348E-3</v>
      </c>
      <c r="K33" s="522"/>
    </row>
    <row r="34" spans="1:34" ht="18.75" customHeight="1" x14ac:dyDescent="0.15">
      <c r="A34" s="724" t="s">
        <v>161</v>
      </c>
      <c r="B34" s="620">
        <f t="shared" ref="B34:J34" si="17">B4+B12+B14+B16+B18+B20+B22+B24+B26+B28+B30+B32</f>
        <v>1712</v>
      </c>
      <c r="C34" s="620">
        <f t="shared" si="17"/>
        <v>1976</v>
      </c>
      <c r="D34" s="620">
        <f t="shared" si="17"/>
        <v>1374</v>
      </c>
      <c r="E34" s="620">
        <f t="shared" si="17"/>
        <v>1317</v>
      </c>
      <c r="F34" s="620">
        <f t="shared" si="17"/>
        <v>1234</v>
      </c>
      <c r="G34" s="620">
        <f t="shared" si="17"/>
        <v>5394</v>
      </c>
      <c r="H34" s="620">
        <f t="shared" si="17"/>
        <v>167</v>
      </c>
      <c r="I34" s="620">
        <f t="shared" si="17"/>
        <v>2079</v>
      </c>
      <c r="J34" s="620">
        <f t="shared" si="17"/>
        <v>15253</v>
      </c>
      <c r="K34" s="623"/>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row>
    <row r="35" spans="1:34" ht="18.75" customHeight="1" x14ac:dyDescent="0.15">
      <c r="A35" s="722"/>
      <c r="B35" s="622">
        <f>SUM(B7,B9,B11,B13,B15,B17,B19,B21,B23,B25,B27,B29,B31,B33)</f>
        <v>1</v>
      </c>
      <c r="C35" s="622">
        <f t="shared" ref="C35:J35" si="18">SUM(C7,C9,C11,C13,C15,C17,C19,C21,C23,C25,C27,C29,C31,C33)</f>
        <v>1</v>
      </c>
      <c r="D35" s="622">
        <f t="shared" si="18"/>
        <v>0.99999999999999978</v>
      </c>
      <c r="E35" s="622">
        <f t="shared" si="18"/>
        <v>1</v>
      </c>
      <c r="F35" s="622">
        <f t="shared" si="18"/>
        <v>1</v>
      </c>
      <c r="G35" s="622">
        <f t="shared" si="18"/>
        <v>1</v>
      </c>
      <c r="H35" s="622">
        <f t="shared" si="18"/>
        <v>1.0000000000000002</v>
      </c>
      <c r="I35" s="622">
        <f t="shared" si="18"/>
        <v>1</v>
      </c>
      <c r="J35" s="622">
        <f t="shared" si="18"/>
        <v>0.99999999999999989</v>
      </c>
      <c r="K35" s="624"/>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row>
    <row r="38" spans="1:34" x14ac:dyDescent="0.15">
      <c r="A38" s="377"/>
      <c r="B38" s="377"/>
      <c r="C38" s="377"/>
      <c r="D38" s="377"/>
      <c r="E38" s="377"/>
      <c r="F38" s="377"/>
      <c r="G38" s="377"/>
      <c r="H38" s="377"/>
      <c r="I38" s="377"/>
      <c r="J38" s="377"/>
      <c r="K38" s="377"/>
      <c r="L38" s="377"/>
      <c r="M38" s="377"/>
      <c r="N38" s="377"/>
      <c r="O38" s="377"/>
      <c r="P38" s="377"/>
      <c r="Q38" s="377"/>
    </row>
    <row r="39" spans="1:34" x14ac:dyDescent="0.15">
      <c r="A39" s="54"/>
    </row>
    <row r="40" spans="1:34" x14ac:dyDescent="0.15">
      <c r="A40" s="54"/>
    </row>
    <row r="41" spans="1:34" x14ac:dyDescent="0.15">
      <c r="A41" s="54"/>
    </row>
    <row r="42" spans="1:34" x14ac:dyDescent="0.15">
      <c r="A42" s="54"/>
    </row>
    <row r="43" spans="1:34" x14ac:dyDescent="0.15">
      <c r="A43" s="54"/>
    </row>
    <row r="44" spans="1:34" x14ac:dyDescent="0.15">
      <c r="A44" s="54"/>
    </row>
    <row r="45" spans="1:34" x14ac:dyDescent="0.15">
      <c r="A45" s="54"/>
    </row>
    <row r="46" spans="1:34" x14ac:dyDescent="0.15">
      <c r="A46" s="54"/>
    </row>
    <row r="47" spans="1:34" x14ac:dyDescent="0.15">
      <c r="A47" s="54"/>
    </row>
    <row r="48" spans="1:34" x14ac:dyDescent="0.15">
      <c r="A48" s="54"/>
    </row>
    <row r="49" spans="1:5" x14ac:dyDescent="0.15">
      <c r="A49" s="54"/>
    </row>
    <row r="50" spans="1:5" x14ac:dyDescent="0.15">
      <c r="A50" s="54"/>
    </row>
    <row r="51" spans="1:5" x14ac:dyDescent="0.15">
      <c r="A51" s="54"/>
    </row>
    <row r="52" spans="1:5" x14ac:dyDescent="0.15">
      <c r="A52" s="54"/>
    </row>
    <row r="53" spans="1:5" x14ac:dyDescent="0.15">
      <c r="A53" s="54"/>
      <c r="B53" s="526"/>
      <c r="C53" s="526"/>
      <c r="D53" s="526"/>
      <c r="E53" s="526"/>
    </row>
    <row r="54" spans="1:5" x14ac:dyDescent="0.15">
      <c r="A54" s="43"/>
      <c r="B54" s="526"/>
      <c r="C54" s="526"/>
      <c r="D54" s="526"/>
      <c r="E54" s="526"/>
    </row>
    <row r="55" spans="1:5" x14ac:dyDescent="0.15">
      <c r="A55" s="54"/>
    </row>
  </sheetData>
  <mergeCells count="16">
    <mergeCell ref="A14:A15"/>
    <mergeCell ref="A4:A5"/>
    <mergeCell ref="A6:A7"/>
    <mergeCell ref="A8:A9"/>
    <mergeCell ref="A10:A11"/>
    <mergeCell ref="A12:A13"/>
    <mergeCell ref="A28:A29"/>
    <mergeCell ref="A30:A31"/>
    <mergeCell ref="A32:A33"/>
    <mergeCell ref="A34:A35"/>
    <mergeCell ref="A16:A17"/>
    <mergeCell ref="A18:A19"/>
    <mergeCell ref="A20:A21"/>
    <mergeCell ref="A22:A23"/>
    <mergeCell ref="A24:A25"/>
    <mergeCell ref="A26:A27"/>
  </mergeCells>
  <phoneticPr fontId="2"/>
  <printOptions horizontalCentered="1"/>
  <pageMargins left="0.70866141732283472" right="0.70866141732283472" top="0.74803149606299213" bottom="0.74803149606299213" header="0.31496062992125984" footer="0.31496062992125984"/>
  <pageSetup paperSize="9" scale="83" orientation="portrait" r:id="rId1"/>
  <ignoredErrors>
    <ignoredError sqref="B4:J31 C32:J3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Button 1">
              <controlPr defaultSize="0" print="0" autoFill="0" autoPict="0" macro="[0]!データ削除27">
                <anchor moveWithCells="1" sizeWithCells="1">
                  <from>
                    <xdr:col>31</xdr:col>
                    <xdr:colOff>552450</xdr:colOff>
                    <xdr:row>4</xdr:row>
                    <xdr:rowOff>95250</xdr:rowOff>
                  </from>
                  <to>
                    <xdr:col>32</xdr:col>
                    <xdr:colOff>1019175</xdr:colOff>
                    <xdr:row>6</xdr:row>
                    <xdr:rowOff>200025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theme="9" tint="-0.499984740745262"/>
    <pageSetUpPr fitToPage="1"/>
  </sheetPr>
  <dimension ref="A1:S68"/>
  <sheetViews>
    <sheetView showGridLines="0" zoomScale="70" zoomScaleNormal="70" zoomScaleSheetLayoutView="70" zoomScalePageLayoutView="70" workbookViewId="0">
      <selection activeCell="G38" sqref="G38"/>
    </sheetView>
  </sheetViews>
  <sheetFormatPr defaultColWidth="13.75" defaultRowHeight="18.75" x14ac:dyDescent="0.15"/>
  <cols>
    <col min="1" max="1" width="15.625" style="1" customWidth="1"/>
    <col min="2" max="10" width="8.75" style="1" customWidth="1"/>
    <col min="11" max="19" width="7.625" style="1" customWidth="1"/>
    <col min="20" max="16384" width="13.75" style="1"/>
  </cols>
  <sheetData>
    <row r="1" spans="1:10" s="3" customFormat="1" ht="19.5" x14ac:dyDescent="0.15">
      <c r="A1" s="2" t="s">
        <v>413</v>
      </c>
    </row>
    <row r="2" spans="1:10" x14ac:dyDescent="0.15">
      <c r="A2" s="4"/>
    </row>
    <row r="3" spans="1:10" ht="18.75" customHeight="1" x14ac:dyDescent="0.15">
      <c r="A3" s="506"/>
      <c r="B3" s="506" t="s">
        <v>376</v>
      </c>
      <c r="C3" s="506" t="s">
        <v>377</v>
      </c>
      <c r="D3" s="506" t="s">
        <v>378</v>
      </c>
      <c r="E3" s="506" t="s">
        <v>379</v>
      </c>
      <c r="F3" s="506" t="s">
        <v>380</v>
      </c>
      <c r="G3" s="506" t="s">
        <v>381</v>
      </c>
      <c r="H3" s="506" t="s">
        <v>382</v>
      </c>
      <c r="I3" s="506" t="s">
        <v>383</v>
      </c>
      <c r="J3" s="506" t="s">
        <v>62</v>
      </c>
    </row>
    <row r="4" spans="1:10" s="22" customFormat="1" ht="18.75" customHeight="1" x14ac:dyDescent="0.15">
      <c r="A4" s="729" t="s">
        <v>60</v>
      </c>
      <c r="B4" s="507">
        <f>SUM(B50:D50)</f>
        <v>205</v>
      </c>
      <c r="C4" s="507">
        <f>SUM(E50:F50)</f>
        <v>204</v>
      </c>
      <c r="D4" s="507">
        <f>SUM(G50:J50)</f>
        <v>170</v>
      </c>
      <c r="E4" s="507">
        <f>SUM(K50:L50)</f>
        <v>231</v>
      </c>
      <c r="F4" s="507">
        <f>SUM(M50:N50)</f>
        <v>122</v>
      </c>
      <c r="G4" s="507">
        <f>SUM(O50:Q50)</f>
        <v>371</v>
      </c>
      <c r="H4" s="507">
        <f>R50</f>
        <v>90</v>
      </c>
      <c r="I4" s="507">
        <f>S50</f>
        <v>311</v>
      </c>
      <c r="J4" s="508">
        <f>SUM(B4:I4)</f>
        <v>1704</v>
      </c>
    </row>
    <row r="5" spans="1:10" s="22" customFormat="1" ht="18.75" customHeight="1" x14ac:dyDescent="0.15">
      <c r="A5" s="722"/>
      <c r="B5" s="512">
        <f>B4/B$36</f>
        <v>0.11974299065420561</v>
      </c>
      <c r="C5" s="512">
        <f t="shared" ref="C5:J5" si="0">C4/C$36</f>
        <v>0.10323886639676114</v>
      </c>
      <c r="D5" s="512">
        <f t="shared" si="0"/>
        <v>0.12372634643377002</v>
      </c>
      <c r="E5" s="512">
        <f t="shared" si="0"/>
        <v>0.17539863325740318</v>
      </c>
      <c r="F5" s="512">
        <f t="shared" si="0"/>
        <v>9.8865478119935166E-2</v>
      </c>
      <c r="G5" s="512">
        <f t="shared" si="0"/>
        <v>6.8780126065999259E-2</v>
      </c>
      <c r="H5" s="512">
        <f t="shared" si="0"/>
        <v>0.53892215568862278</v>
      </c>
      <c r="I5" s="512">
        <f t="shared" si="0"/>
        <v>0.14959114959114958</v>
      </c>
      <c r="J5" s="512">
        <f t="shared" si="0"/>
        <v>0.11171572805349768</v>
      </c>
    </row>
    <row r="6" spans="1:10" s="22" customFormat="1" ht="18.75" customHeight="1" x14ac:dyDescent="0.15">
      <c r="A6" s="527" t="s">
        <v>414</v>
      </c>
      <c r="B6" s="507">
        <f>SUM(B51:D51)</f>
        <v>213</v>
      </c>
      <c r="C6" s="507">
        <f>SUM(E51:F51)</f>
        <v>235</v>
      </c>
      <c r="D6" s="507">
        <f>SUM(G51:J51)</f>
        <v>199</v>
      </c>
      <c r="E6" s="507">
        <f>SUM(K51:L51)</f>
        <v>219</v>
      </c>
      <c r="F6" s="507">
        <f>SUM(M51:N51)</f>
        <v>110</v>
      </c>
      <c r="G6" s="507">
        <f>SUM(O51:Q51)</f>
        <v>432</v>
      </c>
      <c r="H6" s="507">
        <f>R51</f>
        <v>71</v>
      </c>
      <c r="I6" s="507">
        <f>S51</f>
        <v>334</v>
      </c>
      <c r="J6" s="508">
        <f>SUM(B6:I6)</f>
        <v>1813</v>
      </c>
    </row>
    <row r="7" spans="1:10" s="22" customFormat="1" ht="18.75" customHeight="1" x14ac:dyDescent="0.15">
      <c r="A7" s="528" t="s">
        <v>415</v>
      </c>
      <c r="B7" s="512">
        <f>B6/B$36</f>
        <v>0.1244158878504673</v>
      </c>
      <c r="C7" s="512">
        <f t="shared" ref="C7:J7" si="1">C6/C$36</f>
        <v>0.11892712550607287</v>
      </c>
      <c r="D7" s="512">
        <f t="shared" si="1"/>
        <v>0.14483260553129548</v>
      </c>
      <c r="E7" s="512">
        <f t="shared" si="1"/>
        <v>0.1662870159453303</v>
      </c>
      <c r="F7" s="512">
        <f t="shared" si="1"/>
        <v>8.9141004862236625E-2</v>
      </c>
      <c r="G7" s="512">
        <f t="shared" si="1"/>
        <v>8.0088987764182426E-2</v>
      </c>
      <c r="H7" s="512">
        <f t="shared" si="1"/>
        <v>0.42514970059880242</v>
      </c>
      <c r="I7" s="512">
        <f t="shared" si="1"/>
        <v>0.16065416065416066</v>
      </c>
      <c r="J7" s="512">
        <f t="shared" si="1"/>
        <v>0.11886186324001835</v>
      </c>
    </row>
    <row r="8" spans="1:10" s="22" customFormat="1" ht="18.75" customHeight="1" x14ac:dyDescent="0.15">
      <c r="A8" s="527" t="s">
        <v>416</v>
      </c>
      <c r="B8" s="507">
        <f>SUM(B52:D52)</f>
        <v>128</v>
      </c>
      <c r="C8" s="507">
        <f>SUM(E52:F52)</f>
        <v>168</v>
      </c>
      <c r="D8" s="507">
        <f>SUM(G52:J52)</f>
        <v>125</v>
      </c>
      <c r="E8" s="507">
        <f>SUM(K52:L52)</f>
        <v>139</v>
      </c>
      <c r="F8" s="507">
        <f>SUM(M52:N52)</f>
        <v>102</v>
      </c>
      <c r="G8" s="507">
        <f>SUM(O52:Q52)</f>
        <v>409</v>
      </c>
      <c r="H8" s="507">
        <f>R52</f>
        <v>3</v>
      </c>
      <c r="I8" s="507">
        <f>S52</f>
        <v>166</v>
      </c>
      <c r="J8" s="508">
        <f>SUM(B8:I8)</f>
        <v>1240</v>
      </c>
    </row>
    <row r="9" spans="1:10" s="22" customFormat="1" ht="18.75" customHeight="1" x14ac:dyDescent="0.15">
      <c r="A9" s="528" t="s">
        <v>417</v>
      </c>
      <c r="B9" s="512">
        <f>B8/B$36</f>
        <v>7.476635514018691E-2</v>
      </c>
      <c r="C9" s="512">
        <f t="shared" ref="C9:J9" si="2">C8/C$36</f>
        <v>8.5020242914979755E-2</v>
      </c>
      <c r="D9" s="512">
        <f t="shared" si="2"/>
        <v>9.0975254730713245E-2</v>
      </c>
      <c r="E9" s="512">
        <f t="shared" si="2"/>
        <v>0.10554290053151101</v>
      </c>
      <c r="F9" s="512">
        <f t="shared" si="2"/>
        <v>8.2658022690437608E-2</v>
      </c>
      <c r="G9" s="512">
        <f t="shared" si="2"/>
        <v>7.582499073044123E-2</v>
      </c>
      <c r="H9" s="512">
        <f t="shared" si="2"/>
        <v>1.7964071856287425E-2</v>
      </c>
      <c r="I9" s="512">
        <f t="shared" si="2"/>
        <v>7.9846079846079845E-2</v>
      </c>
      <c r="J9" s="512">
        <f t="shared" si="2"/>
        <v>8.1295482855831644E-2</v>
      </c>
    </row>
    <row r="10" spans="1:10" s="22" customFormat="1" ht="18.75" customHeight="1" x14ac:dyDescent="0.15">
      <c r="A10" s="527" t="s">
        <v>418</v>
      </c>
      <c r="B10" s="507">
        <f>SUM(B53:D53)</f>
        <v>137</v>
      </c>
      <c r="C10" s="507">
        <f>SUM(E53:F53)</f>
        <v>197</v>
      </c>
      <c r="D10" s="507">
        <f>SUM(G53:J53)</f>
        <v>125</v>
      </c>
      <c r="E10" s="507">
        <f>SUM(K53:L53)</f>
        <v>121</v>
      </c>
      <c r="F10" s="507">
        <f>SUM(M53:N53)</f>
        <v>132</v>
      </c>
      <c r="G10" s="507">
        <f>SUM(O53:Q53)</f>
        <v>545</v>
      </c>
      <c r="H10" s="507">
        <f>R53</f>
        <v>3</v>
      </c>
      <c r="I10" s="507">
        <f>S53</f>
        <v>174</v>
      </c>
      <c r="J10" s="508">
        <f>SUM(B10:I10)</f>
        <v>1434</v>
      </c>
    </row>
    <row r="11" spans="1:10" s="22" customFormat="1" ht="18.75" customHeight="1" x14ac:dyDescent="0.15">
      <c r="A11" s="528" t="s">
        <v>69</v>
      </c>
      <c r="B11" s="512">
        <f>B10/B$36</f>
        <v>8.002336448598131E-2</v>
      </c>
      <c r="C11" s="512">
        <f t="shared" ref="C11:J11" si="3">C10/C$36</f>
        <v>9.9696356275303641E-2</v>
      </c>
      <c r="D11" s="512">
        <f t="shared" si="3"/>
        <v>9.0975254730713245E-2</v>
      </c>
      <c r="E11" s="512">
        <f t="shared" si="3"/>
        <v>9.1875474563401671E-2</v>
      </c>
      <c r="F11" s="512">
        <f t="shared" si="3"/>
        <v>0.10696920583468396</v>
      </c>
      <c r="G11" s="512">
        <f t="shared" si="3"/>
        <v>0.10103819058212829</v>
      </c>
      <c r="H11" s="512">
        <f t="shared" si="3"/>
        <v>1.7964071856287425E-2</v>
      </c>
      <c r="I11" s="512">
        <f t="shared" si="3"/>
        <v>8.3694083694083696E-2</v>
      </c>
      <c r="J11" s="512">
        <f t="shared" si="3"/>
        <v>9.4014292270373043E-2</v>
      </c>
    </row>
    <row r="12" spans="1:10" s="22" customFormat="1" ht="18.75" customHeight="1" x14ac:dyDescent="0.15">
      <c r="A12" s="527" t="s">
        <v>419</v>
      </c>
      <c r="B12" s="507">
        <f>SUM(B54:D54)</f>
        <v>89</v>
      </c>
      <c r="C12" s="507">
        <f>SUM(E54:F54)</f>
        <v>152</v>
      </c>
      <c r="D12" s="507">
        <f>SUM(G54:J54)</f>
        <v>90</v>
      </c>
      <c r="E12" s="507">
        <f>SUM(K54:L54)</f>
        <v>62</v>
      </c>
      <c r="F12" s="507">
        <f>SUM(M54:N54)</f>
        <v>87</v>
      </c>
      <c r="G12" s="507">
        <f>SUM(O54:Q54)</f>
        <v>429</v>
      </c>
      <c r="H12" s="507">
        <f>R54</f>
        <v>0</v>
      </c>
      <c r="I12" s="507">
        <f>S54</f>
        <v>99</v>
      </c>
      <c r="J12" s="508">
        <f>SUM(B12:I12)</f>
        <v>1008</v>
      </c>
    </row>
    <row r="13" spans="1:10" s="22" customFormat="1" ht="18.75" customHeight="1" x14ac:dyDescent="0.15">
      <c r="A13" s="528" t="s">
        <v>420</v>
      </c>
      <c r="B13" s="512">
        <f>B12/B$36</f>
        <v>5.1985981308411214E-2</v>
      </c>
      <c r="C13" s="512">
        <f t="shared" ref="C13:J13" si="4">C12/C$36</f>
        <v>7.6923076923076927E-2</v>
      </c>
      <c r="D13" s="512">
        <f t="shared" si="4"/>
        <v>6.5502183406113537E-2</v>
      </c>
      <c r="E13" s="512">
        <f t="shared" si="4"/>
        <v>4.7076689445709946E-2</v>
      </c>
      <c r="F13" s="512">
        <f t="shared" si="4"/>
        <v>7.0502431118314418E-2</v>
      </c>
      <c r="G13" s="512">
        <f t="shared" si="4"/>
        <v>7.9532814238042274E-2</v>
      </c>
      <c r="H13" s="512">
        <f t="shared" si="4"/>
        <v>0</v>
      </c>
      <c r="I13" s="512">
        <f t="shared" si="4"/>
        <v>4.7619047619047616E-2</v>
      </c>
      <c r="J13" s="512">
        <f t="shared" si="4"/>
        <v>6.6085360256998626E-2</v>
      </c>
    </row>
    <row r="14" spans="1:10" s="22" customFormat="1" ht="18.75" customHeight="1" x14ac:dyDescent="0.15">
      <c r="A14" s="527" t="s">
        <v>421</v>
      </c>
      <c r="B14" s="507">
        <f>SUM(B55:D55)</f>
        <v>78</v>
      </c>
      <c r="C14" s="507">
        <f>SUM(E55:F55)</f>
        <v>121</v>
      </c>
      <c r="D14" s="507">
        <f>SUM(G55:J55)</f>
        <v>86</v>
      </c>
      <c r="E14" s="507">
        <f>SUM(K55:L55)</f>
        <v>47</v>
      </c>
      <c r="F14" s="507">
        <f>SUM(M55:N55)</f>
        <v>70</v>
      </c>
      <c r="G14" s="507">
        <f>SUM(O55:Q55)</f>
        <v>374</v>
      </c>
      <c r="H14" s="507">
        <f>R55</f>
        <v>0</v>
      </c>
      <c r="I14" s="507">
        <f>S55</f>
        <v>87</v>
      </c>
      <c r="J14" s="508">
        <f>SUM(B14:I14)</f>
        <v>863</v>
      </c>
    </row>
    <row r="15" spans="1:10" s="22" customFormat="1" ht="18.75" customHeight="1" x14ac:dyDescent="0.15">
      <c r="A15" s="528" t="s">
        <v>422</v>
      </c>
      <c r="B15" s="512">
        <f>B14/B$36</f>
        <v>4.55607476635514E-2</v>
      </c>
      <c r="C15" s="512">
        <f t="shared" ref="C15:J15" si="5">C14/C$36</f>
        <v>6.1234817813765184E-2</v>
      </c>
      <c r="D15" s="512">
        <f t="shared" si="5"/>
        <v>6.2590975254730716E-2</v>
      </c>
      <c r="E15" s="512">
        <f t="shared" si="5"/>
        <v>3.5687167805618827E-2</v>
      </c>
      <c r="F15" s="512">
        <f t="shared" si="5"/>
        <v>5.6726094003241488E-2</v>
      </c>
      <c r="G15" s="512">
        <f t="shared" si="5"/>
        <v>6.9336299592139411E-2</v>
      </c>
      <c r="H15" s="512">
        <f t="shared" si="5"/>
        <v>0</v>
      </c>
      <c r="I15" s="512">
        <f t="shared" si="5"/>
        <v>4.1847041847041848E-2</v>
      </c>
      <c r="J15" s="512">
        <f t="shared" si="5"/>
        <v>5.6579033632727989E-2</v>
      </c>
    </row>
    <row r="16" spans="1:10" s="22" customFormat="1" ht="18.75" customHeight="1" x14ac:dyDescent="0.15">
      <c r="A16" s="527" t="s">
        <v>423</v>
      </c>
      <c r="B16" s="507">
        <f>SUM(B56:D56)</f>
        <v>109</v>
      </c>
      <c r="C16" s="507">
        <f>SUM(E56:F56)</f>
        <v>174</v>
      </c>
      <c r="D16" s="507">
        <f>SUM(G56:J56)</f>
        <v>97</v>
      </c>
      <c r="E16" s="507">
        <f>SUM(K56:L56)</f>
        <v>117</v>
      </c>
      <c r="F16" s="507">
        <f>SUM(M56:N56)</f>
        <v>91</v>
      </c>
      <c r="G16" s="507">
        <f>SUM(O56:Q56)</f>
        <v>554</v>
      </c>
      <c r="H16" s="507">
        <f>R56</f>
        <v>0</v>
      </c>
      <c r="I16" s="507">
        <f>S56</f>
        <v>129</v>
      </c>
      <c r="J16" s="508">
        <f>SUM(B16:I16)</f>
        <v>1271</v>
      </c>
    </row>
    <row r="17" spans="1:10" s="22" customFormat="1" ht="18.75" customHeight="1" x14ac:dyDescent="0.15">
      <c r="A17" s="528" t="s">
        <v>424</v>
      </c>
      <c r="B17" s="512">
        <f>B16/B$36</f>
        <v>6.3668224299065421E-2</v>
      </c>
      <c r="C17" s="512">
        <f t="shared" ref="C17:J17" si="6">C16/C$36</f>
        <v>8.8056680161943318E-2</v>
      </c>
      <c r="D17" s="512">
        <f t="shared" si="6"/>
        <v>7.0596797671033482E-2</v>
      </c>
      <c r="E17" s="512">
        <f t="shared" si="6"/>
        <v>8.8838268792710701E-2</v>
      </c>
      <c r="F17" s="512">
        <f t="shared" si="6"/>
        <v>7.3743922204213941E-2</v>
      </c>
      <c r="G17" s="512">
        <f t="shared" si="6"/>
        <v>0.10270671116054876</v>
      </c>
      <c r="H17" s="512">
        <f t="shared" si="6"/>
        <v>0</v>
      </c>
      <c r="I17" s="512">
        <f t="shared" si="6"/>
        <v>6.2049062049062048E-2</v>
      </c>
      <c r="J17" s="512">
        <f t="shared" si="6"/>
        <v>8.3327869927227433E-2</v>
      </c>
    </row>
    <row r="18" spans="1:10" s="22" customFormat="1" ht="18.75" customHeight="1" x14ac:dyDescent="0.15">
      <c r="A18" s="527" t="s">
        <v>425</v>
      </c>
      <c r="B18" s="507">
        <f>SUM(B57:D57)</f>
        <v>120</v>
      </c>
      <c r="C18" s="507">
        <f>SUM(E57:F57)</f>
        <v>188</v>
      </c>
      <c r="D18" s="507">
        <f>SUM(G57:J57)</f>
        <v>99</v>
      </c>
      <c r="E18" s="507">
        <f>SUM(K57:L57)</f>
        <v>52</v>
      </c>
      <c r="F18" s="507">
        <f>SUM(M57:N57)</f>
        <v>67</v>
      </c>
      <c r="G18" s="507">
        <f>SUM(O57:Q57)</f>
        <v>387</v>
      </c>
      <c r="H18" s="507">
        <f>R57</f>
        <v>0</v>
      </c>
      <c r="I18" s="507">
        <f>S57</f>
        <v>95</v>
      </c>
      <c r="J18" s="508">
        <f>SUM(B18:I18)</f>
        <v>1008</v>
      </c>
    </row>
    <row r="19" spans="1:10" s="22" customFormat="1" ht="18.75" customHeight="1" x14ac:dyDescent="0.15">
      <c r="A19" s="528" t="s">
        <v>426</v>
      </c>
      <c r="B19" s="512">
        <f>B18/B$36</f>
        <v>7.0093457943925228E-2</v>
      </c>
      <c r="C19" s="512">
        <f t="shared" ref="C19:J19" si="7">C18/C$36</f>
        <v>9.5141700404858295E-2</v>
      </c>
      <c r="D19" s="512">
        <f t="shared" si="7"/>
        <v>7.2052401746724892E-2</v>
      </c>
      <c r="E19" s="512">
        <f t="shared" si="7"/>
        <v>3.9483675018982534E-2</v>
      </c>
      <c r="F19" s="512">
        <f t="shared" si="7"/>
        <v>5.4294975688816853E-2</v>
      </c>
      <c r="G19" s="512">
        <f t="shared" si="7"/>
        <v>7.1746384872080085E-2</v>
      </c>
      <c r="H19" s="512">
        <f t="shared" si="7"/>
        <v>0</v>
      </c>
      <c r="I19" s="512">
        <f t="shared" si="7"/>
        <v>4.5695045695045698E-2</v>
      </c>
      <c r="J19" s="512">
        <f t="shared" si="7"/>
        <v>6.6085360256998626E-2</v>
      </c>
    </row>
    <row r="20" spans="1:10" s="22" customFormat="1" ht="18.75" customHeight="1" x14ac:dyDescent="0.15">
      <c r="A20" s="527" t="s">
        <v>427</v>
      </c>
      <c r="B20" s="507">
        <f>SUM(B58:D58)</f>
        <v>87</v>
      </c>
      <c r="C20" s="507">
        <f>SUM(E58:F58)</f>
        <v>84</v>
      </c>
      <c r="D20" s="507">
        <f>SUM(G58:J58)</f>
        <v>60</v>
      </c>
      <c r="E20" s="507">
        <f>SUM(K58:L58)</f>
        <v>55</v>
      </c>
      <c r="F20" s="507">
        <f>SUM(M58:N58)</f>
        <v>61</v>
      </c>
      <c r="G20" s="507">
        <f>SUM(O58:Q58)</f>
        <v>313</v>
      </c>
      <c r="H20" s="507">
        <f>R58</f>
        <v>0</v>
      </c>
      <c r="I20" s="507">
        <f>S58</f>
        <v>71</v>
      </c>
      <c r="J20" s="508">
        <f>SUM(B20:I20)</f>
        <v>731</v>
      </c>
    </row>
    <row r="21" spans="1:10" s="22" customFormat="1" ht="18.75" customHeight="1" x14ac:dyDescent="0.15">
      <c r="A21" s="528" t="s">
        <v>428</v>
      </c>
      <c r="B21" s="512">
        <f>B20/B$36</f>
        <v>5.0817757009345793E-2</v>
      </c>
      <c r="C21" s="512">
        <f t="shared" ref="C21:J21" si="8">C20/C$36</f>
        <v>4.2510121457489877E-2</v>
      </c>
      <c r="D21" s="512">
        <f t="shared" si="8"/>
        <v>4.3668122270742356E-2</v>
      </c>
      <c r="E21" s="512">
        <f t="shared" si="8"/>
        <v>4.1761579347000762E-2</v>
      </c>
      <c r="F21" s="512">
        <f t="shared" si="8"/>
        <v>4.9432739059967583E-2</v>
      </c>
      <c r="G21" s="512">
        <f t="shared" si="8"/>
        <v>5.802743789395625E-2</v>
      </c>
      <c r="H21" s="512">
        <f t="shared" si="8"/>
        <v>0</v>
      </c>
      <c r="I21" s="512">
        <f t="shared" si="8"/>
        <v>3.4151034151034154E-2</v>
      </c>
      <c r="J21" s="512">
        <f t="shared" si="8"/>
        <v>4.7924998360978167E-2</v>
      </c>
    </row>
    <row r="22" spans="1:10" s="22" customFormat="1" ht="18.75" customHeight="1" x14ac:dyDescent="0.15">
      <c r="A22" s="527" t="s">
        <v>429</v>
      </c>
      <c r="B22" s="507">
        <f>SUM(B59:D59)</f>
        <v>69</v>
      </c>
      <c r="C22" s="507">
        <f>SUM(E59:F59)</f>
        <v>65</v>
      </c>
      <c r="D22" s="507">
        <f>SUM(G59:J59)</f>
        <v>44</v>
      </c>
      <c r="E22" s="507">
        <f>SUM(K59:L59)</f>
        <v>36</v>
      </c>
      <c r="F22" s="507">
        <f>SUM(M59:N59)</f>
        <v>37</v>
      </c>
      <c r="G22" s="507">
        <f>SUM(O59:Q59)</f>
        <v>204</v>
      </c>
      <c r="H22" s="507">
        <f>R59</f>
        <v>0</v>
      </c>
      <c r="I22" s="507">
        <f>S59</f>
        <v>43</v>
      </c>
      <c r="J22" s="508">
        <f>SUM(B22:I22)</f>
        <v>498</v>
      </c>
    </row>
    <row r="23" spans="1:10" s="22" customFormat="1" ht="18.75" customHeight="1" x14ac:dyDescent="0.15">
      <c r="A23" s="528" t="s">
        <v>430</v>
      </c>
      <c r="B23" s="512">
        <f>B22/B$36</f>
        <v>4.0303738317757007E-2</v>
      </c>
      <c r="C23" s="512">
        <f t="shared" ref="C23:J23" si="9">C22/C$36</f>
        <v>3.2894736842105261E-2</v>
      </c>
      <c r="D23" s="512">
        <f t="shared" si="9"/>
        <v>3.2023289665211063E-2</v>
      </c>
      <c r="E23" s="512">
        <f t="shared" si="9"/>
        <v>2.7334851936218679E-2</v>
      </c>
      <c r="F23" s="512">
        <f t="shared" si="9"/>
        <v>2.9983792544570502E-2</v>
      </c>
      <c r="G23" s="512">
        <f t="shared" si="9"/>
        <v>3.781979977753059E-2</v>
      </c>
      <c r="H23" s="512">
        <f t="shared" si="9"/>
        <v>0</v>
      </c>
      <c r="I23" s="512">
        <f t="shared" si="9"/>
        <v>2.0683020683020682E-2</v>
      </c>
      <c r="J23" s="512">
        <f t="shared" si="9"/>
        <v>3.264931488887432E-2</v>
      </c>
    </row>
    <row r="24" spans="1:10" s="22" customFormat="1" ht="18.75" customHeight="1" x14ac:dyDescent="0.15">
      <c r="A24" s="527" t="s">
        <v>431</v>
      </c>
      <c r="B24" s="507">
        <f>SUM(B60:D60)</f>
        <v>68</v>
      </c>
      <c r="C24" s="507">
        <f>SUM(E60:F60)</f>
        <v>29</v>
      </c>
      <c r="D24" s="507">
        <f>SUM(G60:J60)</f>
        <v>44</v>
      </c>
      <c r="E24" s="507">
        <f>SUM(K60:L60)</f>
        <v>33</v>
      </c>
      <c r="F24" s="507">
        <f>SUM(M60:N60)</f>
        <v>40</v>
      </c>
      <c r="G24" s="507">
        <f>SUM(O60:Q60)</f>
        <v>170</v>
      </c>
      <c r="H24" s="507">
        <f>R60</f>
        <v>0</v>
      </c>
      <c r="I24" s="507">
        <f>S60</f>
        <v>53</v>
      </c>
      <c r="J24" s="508">
        <f>SUM(B24:I24)</f>
        <v>437</v>
      </c>
    </row>
    <row r="25" spans="1:10" s="22" customFormat="1" ht="18.75" customHeight="1" x14ac:dyDescent="0.15">
      <c r="A25" s="528" t="s">
        <v>432</v>
      </c>
      <c r="B25" s="512">
        <f>B24/B$36</f>
        <v>3.9719626168224297E-2</v>
      </c>
      <c r="C25" s="512">
        <f t="shared" ref="C25:J25" si="10">C24/C$36</f>
        <v>1.4676113360323886E-2</v>
      </c>
      <c r="D25" s="512">
        <f t="shared" si="10"/>
        <v>3.2023289665211063E-2</v>
      </c>
      <c r="E25" s="512">
        <f t="shared" si="10"/>
        <v>2.5056947608200455E-2</v>
      </c>
      <c r="F25" s="512">
        <f t="shared" si="10"/>
        <v>3.2414910858995137E-2</v>
      </c>
      <c r="G25" s="512">
        <f t="shared" si="10"/>
        <v>3.1516499814608821E-2</v>
      </c>
      <c r="H25" s="512">
        <f t="shared" si="10"/>
        <v>0</v>
      </c>
      <c r="I25" s="512">
        <f t="shared" si="10"/>
        <v>2.5493025493025494E-2</v>
      </c>
      <c r="J25" s="512">
        <f t="shared" si="10"/>
        <v>2.8650101619353569E-2</v>
      </c>
    </row>
    <row r="26" spans="1:10" s="22" customFormat="1" ht="18.75" customHeight="1" x14ac:dyDescent="0.15">
      <c r="A26" s="527" t="s">
        <v>433</v>
      </c>
      <c r="B26" s="507">
        <f>SUM(B61:D61)</f>
        <v>45</v>
      </c>
      <c r="C26" s="507">
        <f>SUM(E61:F61)</f>
        <v>49</v>
      </c>
      <c r="D26" s="507">
        <f>SUM(G61:J61)</f>
        <v>27</v>
      </c>
      <c r="E26" s="507">
        <f>SUM(K61:L61)</f>
        <v>25</v>
      </c>
      <c r="F26" s="507">
        <f>SUM(M61:N61)</f>
        <v>42</v>
      </c>
      <c r="G26" s="507">
        <f>SUM(O61:Q61)</f>
        <v>151</v>
      </c>
      <c r="H26" s="507">
        <f>R61</f>
        <v>0</v>
      </c>
      <c r="I26" s="507">
        <f>S61</f>
        <v>46</v>
      </c>
      <c r="J26" s="508">
        <f>SUM(B26:I26)</f>
        <v>385</v>
      </c>
    </row>
    <row r="27" spans="1:10" s="22" customFormat="1" ht="18.75" customHeight="1" x14ac:dyDescent="0.15">
      <c r="A27" s="528" t="s">
        <v>434</v>
      </c>
      <c r="B27" s="512">
        <f>B26/B$36</f>
        <v>2.6285046728971962E-2</v>
      </c>
      <c r="C27" s="512">
        <f t="shared" ref="C27:J27" si="11">C26/C$36</f>
        <v>2.4797570850202431E-2</v>
      </c>
      <c r="D27" s="512">
        <f t="shared" si="11"/>
        <v>1.9650655021834062E-2</v>
      </c>
      <c r="E27" s="512">
        <f t="shared" si="11"/>
        <v>1.8982536066818528E-2</v>
      </c>
      <c r="F27" s="512">
        <f t="shared" si="11"/>
        <v>3.4035656401944892E-2</v>
      </c>
      <c r="G27" s="512">
        <f t="shared" si="11"/>
        <v>2.7994067482387839E-2</v>
      </c>
      <c r="H27" s="512">
        <f t="shared" si="11"/>
        <v>0</v>
      </c>
      <c r="I27" s="512">
        <f t="shared" si="11"/>
        <v>2.2126022126022125E-2</v>
      </c>
      <c r="J27" s="512">
        <f t="shared" si="11"/>
        <v>2.5240936209270308E-2</v>
      </c>
    </row>
    <row r="28" spans="1:10" s="22" customFormat="1" ht="18.75" customHeight="1" x14ac:dyDescent="0.15">
      <c r="A28" s="527" t="s">
        <v>435</v>
      </c>
      <c r="B28" s="507">
        <f>SUM(B62:D62)</f>
        <v>30</v>
      </c>
      <c r="C28" s="507">
        <f>SUM(E62:F62)</f>
        <v>36</v>
      </c>
      <c r="D28" s="507">
        <f>SUM(G62:J62)</f>
        <v>29</v>
      </c>
      <c r="E28" s="507">
        <f>SUM(K62:L62)</f>
        <v>27</v>
      </c>
      <c r="F28" s="507">
        <f>SUM(M62:N62)</f>
        <v>25</v>
      </c>
      <c r="G28" s="507">
        <f>SUM(O62:Q62)</f>
        <v>118</v>
      </c>
      <c r="H28" s="507">
        <f>R62</f>
        <v>0</v>
      </c>
      <c r="I28" s="507">
        <f>S62</f>
        <v>41</v>
      </c>
      <c r="J28" s="508">
        <f>SUM(B28:I28)</f>
        <v>306</v>
      </c>
    </row>
    <row r="29" spans="1:10" s="22" customFormat="1" ht="18.75" customHeight="1" x14ac:dyDescent="0.15">
      <c r="A29" s="528" t="s">
        <v>436</v>
      </c>
      <c r="B29" s="512">
        <f>B28/B$36</f>
        <v>1.7523364485981307E-2</v>
      </c>
      <c r="C29" s="512">
        <f t="shared" ref="C29:J29" si="12">C28/C$36</f>
        <v>1.8218623481781375E-2</v>
      </c>
      <c r="D29" s="512">
        <f t="shared" si="12"/>
        <v>2.1106259097525473E-2</v>
      </c>
      <c r="E29" s="512">
        <f t="shared" si="12"/>
        <v>2.0501138952164009E-2</v>
      </c>
      <c r="F29" s="512">
        <f t="shared" si="12"/>
        <v>2.0259319286871962E-2</v>
      </c>
      <c r="G29" s="512">
        <f t="shared" si="12"/>
        <v>2.1876158694846125E-2</v>
      </c>
      <c r="H29" s="512">
        <f t="shared" si="12"/>
        <v>0</v>
      </c>
      <c r="I29" s="512">
        <f t="shared" si="12"/>
        <v>1.9721019721019722E-2</v>
      </c>
      <c r="J29" s="512">
        <f t="shared" si="12"/>
        <v>2.0061627220874581E-2</v>
      </c>
    </row>
    <row r="30" spans="1:10" s="22" customFormat="1" ht="18.75" customHeight="1" x14ac:dyDescent="0.15">
      <c r="A30" s="527" t="s">
        <v>437</v>
      </c>
      <c r="B30" s="507">
        <f>SUM(B63:D63)</f>
        <v>38</v>
      </c>
      <c r="C30" s="507">
        <f>SUM(E63:F63)</f>
        <v>28</v>
      </c>
      <c r="D30" s="507">
        <f>SUM(G63:J63)</f>
        <v>15</v>
      </c>
      <c r="E30" s="507">
        <f>SUM(K63:L63)</f>
        <v>23</v>
      </c>
      <c r="F30" s="507">
        <f>SUM(M63:N63)</f>
        <v>32</v>
      </c>
      <c r="G30" s="507">
        <f>SUM(O63:Q63)</f>
        <v>110</v>
      </c>
      <c r="H30" s="507">
        <f>R63</f>
        <v>0</v>
      </c>
      <c r="I30" s="507">
        <f>S63</f>
        <v>40</v>
      </c>
      <c r="J30" s="508">
        <f>SUM(B30:I30)</f>
        <v>286</v>
      </c>
    </row>
    <row r="31" spans="1:10" s="22" customFormat="1" ht="18.75" customHeight="1" x14ac:dyDescent="0.15">
      <c r="A31" s="528" t="s">
        <v>438</v>
      </c>
      <c r="B31" s="512">
        <f>B30/B$36</f>
        <v>2.219626168224299E-2</v>
      </c>
      <c r="C31" s="512">
        <f t="shared" ref="C31:J31" si="13">C30/C$36</f>
        <v>1.417004048582996E-2</v>
      </c>
      <c r="D31" s="512">
        <f t="shared" si="13"/>
        <v>1.0917030567685589E-2</v>
      </c>
      <c r="E31" s="512">
        <f t="shared" si="13"/>
        <v>1.7463933181473046E-2</v>
      </c>
      <c r="F31" s="512">
        <f t="shared" si="13"/>
        <v>2.5931928687196109E-2</v>
      </c>
      <c r="G31" s="512">
        <f t="shared" si="13"/>
        <v>2.0393029291805712E-2</v>
      </c>
      <c r="H31" s="512">
        <f t="shared" si="13"/>
        <v>0</v>
      </c>
      <c r="I31" s="512">
        <f t="shared" si="13"/>
        <v>1.9240019240019241E-2</v>
      </c>
      <c r="J31" s="512">
        <f t="shared" si="13"/>
        <v>1.8750409755457942E-2</v>
      </c>
    </row>
    <row r="32" spans="1:10" s="22" customFormat="1" ht="18.75" customHeight="1" x14ac:dyDescent="0.15">
      <c r="A32" s="527" t="s">
        <v>439</v>
      </c>
      <c r="B32" s="507">
        <f>SUM(B64:D64)</f>
        <v>174</v>
      </c>
      <c r="C32" s="507">
        <f>SUM(E64:F64)</f>
        <v>171</v>
      </c>
      <c r="D32" s="507">
        <f>SUM(G64:J64)</f>
        <v>110</v>
      </c>
      <c r="E32" s="507">
        <f>SUM(K64:L64)</f>
        <v>84</v>
      </c>
      <c r="F32" s="507">
        <f>SUM(M64:N64)</f>
        <v>137</v>
      </c>
      <c r="G32" s="507">
        <f>SUM(O64:Q64)</f>
        <v>534</v>
      </c>
      <c r="H32" s="507">
        <f>R64</f>
        <v>0</v>
      </c>
      <c r="I32" s="507">
        <f>S64</f>
        <v>203</v>
      </c>
      <c r="J32" s="508">
        <f>SUM(B32:I32)</f>
        <v>1413</v>
      </c>
    </row>
    <row r="33" spans="1:10" s="22" customFormat="1" ht="18.75" customHeight="1" x14ac:dyDescent="0.15">
      <c r="A33" s="528" t="s">
        <v>440</v>
      </c>
      <c r="B33" s="512">
        <f>B32/B$36</f>
        <v>0.10163551401869159</v>
      </c>
      <c r="C33" s="512">
        <f t="shared" ref="C33:J33" si="14">C32/C$36</f>
        <v>8.6538461538461536E-2</v>
      </c>
      <c r="D33" s="512">
        <f t="shared" si="14"/>
        <v>8.0058224163027658E-2</v>
      </c>
      <c r="E33" s="512">
        <f t="shared" si="14"/>
        <v>6.3781321184510256E-2</v>
      </c>
      <c r="F33" s="512">
        <f t="shared" si="14"/>
        <v>0.11102106969205834</v>
      </c>
      <c r="G33" s="512">
        <f t="shared" si="14"/>
        <v>9.8998887652947717E-2</v>
      </c>
      <c r="H33" s="512">
        <f t="shared" si="14"/>
        <v>0</v>
      </c>
      <c r="I33" s="512">
        <f t="shared" si="14"/>
        <v>9.7643097643097643E-2</v>
      </c>
      <c r="J33" s="512">
        <f t="shared" si="14"/>
        <v>9.2637513931685567E-2</v>
      </c>
    </row>
    <row r="34" spans="1:10" s="22" customFormat="1" ht="18.75" customHeight="1" x14ac:dyDescent="0.15">
      <c r="A34" s="729" t="s">
        <v>61</v>
      </c>
      <c r="B34" s="507">
        <f>SUM(B65:D65)</f>
        <v>122</v>
      </c>
      <c r="C34" s="507">
        <f>SUM(E65:F65)</f>
        <v>75</v>
      </c>
      <c r="D34" s="507">
        <f>SUM(G65:J65)</f>
        <v>54</v>
      </c>
      <c r="E34" s="507">
        <f>SUM(K65:L65)</f>
        <v>46</v>
      </c>
      <c r="F34" s="507">
        <f>SUM(M65:N65)</f>
        <v>79</v>
      </c>
      <c r="G34" s="507">
        <f>SUM(O65:Q65)</f>
        <v>293</v>
      </c>
      <c r="H34" s="507">
        <f>R65</f>
        <v>0</v>
      </c>
      <c r="I34" s="507">
        <f>S65</f>
        <v>187</v>
      </c>
      <c r="J34" s="508">
        <f>SUM(B34:I34)</f>
        <v>856</v>
      </c>
    </row>
    <row r="35" spans="1:10" s="22" customFormat="1" ht="18.75" customHeight="1" x14ac:dyDescent="0.15">
      <c r="A35" s="722"/>
      <c r="B35" s="512">
        <f>B34/B$36</f>
        <v>7.1261682242990648E-2</v>
      </c>
      <c r="C35" s="512">
        <f t="shared" ref="C35:J35" si="15">C34/C$36</f>
        <v>3.7955465587044532E-2</v>
      </c>
      <c r="D35" s="512">
        <f t="shared" si="15"/>
        <v>3.9301310043668124E-2</v>
      </c>
      <c r="E35" s="512">
        <f t="shared" si="15"/>
        <v>3.4927866362946092E-2</v>
      </c>
      <c r="F35" s="512">
        <f t="shared" si="15"/>
        <v>6.40194489465154E-2</v>
      </c>
      <c r="G35" s="512">
        <f t="shared" si="15"/>
        <v>5.4319614386355207E-2</v>
      </c>
      <c r="H35" s="512">
        <f t="shared" si="15"/>
        <v>0</v>
      </c>
      <c r="I35" s="512">
        <f t="shared" si="15"/>
        <v>8.9947089947089942E-2</v>
      </c>
      <c r="J35" s="512">
        <f t="shared" si="15"/>
        <v>5.6120107519832166E-2</v>
      </c>
    </row>
    <row r="36" spans="1:10" s="22" customFormat="1" ht="18.75" customHeight="1" x14ac:dyDescent="0.15">
      <c r="A36" s="724" t="s">
        <v>161</v>
      </c>
      <c r="B36" s="620">
        <f>SUM(B4,B6,B8,B10,B12,B14,B16,B18,B20,B22,B24,B26,B28,B30,B32,B34)</f>
        <v>1712</v>
      </c>
      <c r="C36" s="620">
        <f t="shared" ref="C36:J36" si="16">SUM(C4,C6,C8,C10,C12,C14,C16,C18,C20,C22,C24,C26,C28,C30,C32,C34)</f>
        <v>1976</v>
      </c>
      <c r="D36" s="620">
        <f t="shared" si="16"/>
        <v>1374</v>
      </c>
      <c r="E36" s="620">
        <f t="shared" si="16"/>
        <v>1317</v>
      </c>
      <c r="F36" s="620">
        <f t="shared" si="16"/>
        <v>1234</v>
      </c>
      <c r="G36" s="620">
        <f t="shared" si="16"/>
        <v>5394</v>
      </c>
      <c r="H36" s="620">
        <f t="shared" si="16"/>
        <v>167</v>
      </c>
      <c r="I36" s="620">
        <f t="shared" si="16"/>
        <v>2079</v>
      </c>
      <c r="J36" s="621">
        <f t="shared" si="16"/>
        <v>15253</v>
      </c>
    </row>
    <row r="37" spans="1:10" s="22" customFormat="1" ht="18.75" customHeight="1" x14ac:dyDescent="0.15">
      <c r="A37" s="722"/>
      <c r="B37" s="622">
        <f t="shared" ref="B37:J37" si="17">SUM(B5,B7,B9,B11,B13,B15,B17,B19,B21,B23,B25,B27,B29,B31,B33,B35)</f>
        <v>0.99999999999999989</v>
      </c>
      <c r="C37" s="622">
        <f t="shared" si="17"/>
        <v>1</v>
      </c>
      <c r="D37" s="622">
        <f t="shared" si="17"/>
        <v>0.99999999999999989</v>
      </c>
      <c r="E37" s="622">
        <f t="shared" si="17"/>
        <v>1</v>
      </c>
      <c r="F37" s="622">
        <f t="shared" si="17"/>
        <v>0.99999999999999978</v>
      </c>
      <c r="G37" s="622">
        <f t="shared" si="17"/>
        <v>1</v>
      </c>
      <c r="H37" s="622">
        <f t="shared" si="17"/>
        <v>1</v>
      </c>
      <c r="I37" s="622">
        <f t="shared" si="17"/>
        <v>0.99999999999999978</v>
      </c>
      <c r="J37" s="622">
        <f t="shared" si="17"/>
        <v>1</v>
      </c>
    </row>
    <row r="38" spans="1:10" s="6" customFormat="1" ht="18.75" customHeight="1" x14ac:dyDescent="0.15">
      <c r="A38" s="729" t="s">
        <v>56</v>
      </c>
      <c r="B38" s="507">
        <f>SUM(B4,B6,B8,B10)</f>
        <v>683</v>
      </c>
      <c r="C38" s="507">
        <f t="shared" ref="C38:I38" si="18">SUM(C4,C6,C8,C10)</f>
        <v>804</v>
      </c>
      <c r="D38" s="507">
        <f t="shared" si="18"/>
        <v>619</v>
      </c>
      <c r="E38" s="507">
        <f t="shared" si="18"/>
        <v>710</v>
      </c>
      <c r="F38" s="507">
        <f t="shared" si="18"/>
        <v>466</v>
      </c>
      <c r="G38" s="507">
        <f t="shared" si="18"/>
        <v>1757</v>
      </c>
      <c r="H38" s="507">
        <f t="shared" si="18"/>
        <v>167</v>
      </c>
      <c r="I38" s="507">
        <f t="shared" si="18"/>
        <v>985</v>
      </c>
      <c r="J38" s="507">
        <f t="shared" ref="J38" si="19">SUM(B38:I38)</f>
        <v>6191</v>
      </c>
    </row>
    <row r="39" spans="1:10" s="6" customFormat="1" ht="18.75" customHeight="1" x14ac:dyDescent="0.15">
      <c r="A39" s="722"/>
      <c r="B39" s="512">
        <f>B38/B$36</f>
        <v>0.3989485981308411</v>
      </c>
      <c r="C39" s="512">
        <f t="shared" ref="C39:J45" si="20">C38/C$36</f>
        <v>0.40688259109311742</v>
      </c>
      <c r="D39" s="512">
        <f t="shared" si="20"/>
        <v>0.45050946142649201</v>
      </c>
      <c r="E39" s="512">
        <f t="shared" si="20"/>
        <v>0.53910402429764614</v>
      </c>
      <c r="F39" s="512">
        <f t="shared" si="20"/>
        <v>0.37763371150729336</v>
      </c>
      <c r="G39" s="512">
        <f t="shared" si="20"/>
        <v>0.3257322951427512</v>
      </c>
      <c r="H39" s="512">
        <f t="shared" si="20"/>
        <v>1</v>
      </c>
      <c r="I39" s="512">
        <f t="shared" si="20"/>
        <v>0.47378547378547381</v>
      </c>
      <c r="J39" s="512">
        <f t="shared" si="20"/>
        <v>0.40588736641972073</v>
      </c>
    </row>
    <row r="40" spans="1:10" s="22" customFormat="1" ht="18.75" customHeight="1" x14ac:dyDescent="0.15">
      <c r="A40" s="529" t="s">
        <v>441</v>
      </c>
      <c r="B40" s="507">
        <f>SUM(B12,B14,B16,B18,B20)</f>
        <v>483</v>
      </c>
      <c r="C40" s="507">
        <f t="shared" ref="C40:I40" si="21">SUM(C12,C14,C16,C18,C20)</f>
        <v>719</v>
      </c>
      <c r="D40" s="507">
        <f t="shared" si="21"/>
        <v>432</v>
      </c>
      <c r="E40" s="507">
        <f t="shared" si="21"/>
        <v>333</v>
      </c>
      <c r="F40" s="507">
        <f t="shared" si="21"/>
        <v>376</v>
      </c>
      <c r="G40" s="507">
        <f t="shared" si="21"/>
        <v>2057</v>
      </c>
      <c r="H40" s="507">
        <f t="shared" si="21"/>
        <v>0</v>
      </c>
      <c r="I40" s="507">
        <f t="shared" si="21"/>
        <v>481</v>
      </c>
      <c r="J40" s="507">
        <f t="shared" ref="J40" si="22">SUM(B40:I40)</f>
        <v>4881</v>
      </c>
    </row>
    <row r="41" spans="1:10" s="22" customFormat="1" ht="18.75" customHeight="1" x14ac:dyDescent="0.15">
      <c r="A41" s="530" t="s">
        <v>442</v>
      </c>
      <c r="B41" s="512">
        <f>B40/B$36</f>
        <v>0.28212616822429909</v>
      </c>
      <c r="C41" s="512">
        <f t="shared" ref="C41:I41" si="23">C40/C$36</f>
        <v>0.36386639676113358</v>
      </c>
      <c r="D41" s="512">
        <f t="shared" si="23"/>
        <v>0.31441048034934499</v>
      </c>
      <c r="E41" s="512">
        <f t="shared" si="23"/>
        <v>0.2528473804100228</v>
      </c>
      <c r="F41" s="512">
        <f t="shared" si="23"/>
        <v>0.3047001620745543</v>
      </c>
      <c r="G41" s="512">
        <f t="shared" si="23"/>
        <v>0.38134964775676677</v>
      </c>
      <c r="H41" s="512">
        <f t="shared" si="23"/>
        <v>0</v>
      </c>
      <c r="I41" s="512">
        <f t="shared" si="23"/>
        <v>0.23136123136123135</v>
      </c>
      <c r="J41" s="512">
        <f t="shared" si="20"/>
        <v>0.32000262243493083</v>
      </c>
    </row>
    <row r="42" spans="1:10" s="6" customFormat="1" ht="18.75" customHeight="1" x14ac:dyDescent="0.15">
      <c r="A42" s="529" t="s">
        <v>443</v>
      </c>
      <c r="B42" s="507">
        <f>SUM(B22,B24,B26,B28,B30)</f>
        <v>250</v>
      </c>
      <c r="C42" s="507">
        <f t="shared" ref="C42:I42" si="24">SUM(C22,C24,C26,C28,C30)</f>
        <v>207</v>
      </c>
      <c r="D42" s="507">
        <f t="shared" si="24"/>
        <v>159</v>
      </c>
      <c r="E42" s="507">
        <f t="shared" si="24"/>
        <v>144</v>
      </c>
      <c r="F42" s="507">
        <f t="shared" si="24"/>
        <v>176</v>
      </c>
      <c r="G42" s="507">
        <f t="shared" si="24"/>
        <v>753</v>
      </c>
      <c r="H42" s="507">
        <f t="shared" si="24"/>
        <v>0</v>
      </c>
      <c r="I42" s="507">
        <f t="shared" si="24"/>
        <v>223</v>
      </c>
      <c r="J42" s="507">
        <f t="shared" ref="J42" si="25">SUM(B42:I42)</f>
        <v>1912</v>
      </c>
    </row>
    <row r="43" spans="1:10" s="6" customFormat="1" ht="18.75" customHeight="1" x14ac:dyDescent="0.15">
      <c r="A43" s="531" t="s">
        <v>444</v>
      </c>
      <c r="B43" s="512">
        <f>B42/B$36</f>
        <v>0.14602803738317757</v>
      </c>
      <c r="C43" s="512">
        <f t="shared" ref="C43:I43" si="26">C42/C$36</f>
        <v>0.10475708502024292</v>
      </c>
      <c r="D43" s="512">
        <f t="shared" si="26"/>
        <v>0.11572052401746726</v>
      </c>
      <c r="E43" s="512">
        <f t="shared" si="26"/>
        <v>0.10933940774487472</v>
      </c>
      <c r="F43" s="512">
        <f t="shared" si="26"/>
        <v>0.14262560777957861</v>
      </c>
      <c r="G43" s="512">
        <f t="shared" si="26"/>
        <v>0.13959955506117908</v>
      </c>
      <c r="H43" s="512">
        <f t="shared" si="26"/>
        <v>0</v>
      </c>
      <c r="I43" s="512">
        <f t="shared" si="26"/>
        <v>0.10726310726310727</v>
      </c>
      <c r="J43" s="512">
        <f t="shared" si="20"/>
        <v>0.12535238969383072</v>
      </c>
    </row>
    <row r="44" spans="1:10" s="22" customFormat="1" ht="18.75" customHeight="1" x14ac:dyDescent="0.15">
      <c r="A44" s="729" t="s">
        <v>445</v>
      </c>
      <c r="B44" s="507">
        <f>SUM(B32,B34)</f>
        <v>296</v>
      </c>
      <c r="C44" s="507">
        <f t="shared" ref="C44:I44" si="27">SUM(C32,C34)</f>
        <v>246</v>
      </c>
      <c r="D44" s="507">
        <f t="shared" si="27"/>
        <v>164</v>
      </c>
      <c r="E44" s="507">
        <f t="shared" si="27"/>
        <v>130</v>
      </c>
      <c r="F44" s="507">
        <f t="shared" si="27"/>
        <v>216</v>
      </c>
      <c r="G44" s="507">
        <f t="shared" si="27"/>
        <v>827</v>
      </c>
      <c r="H44" s="507">
        <f t="shared" si="27"/>
        <v>0</v>
      </c>
      <c r="I44" s="507">
        <f t="shared" si="27"/>
        <v>390</v>
      </c>
      <c r="J44" s="507">
        <f t="shared" ref="J44" si="28">SUM(B44:I44)</f>
        <v>2269</v>
      </c>
    </row>
    <row r="45" spans="1:10" s="22" customFormat="1" ht="18.75" customHeight="1" x14ac:dyDescent="0.15">
      <c r="A45" s="722"/>
      <c r="B45" s="512">
        <f>B44/B$36</f>
        <v>0.17289719626168223</v>
      </c>
      <c r="C45" s="512">
        <f t="shared" ref="C45:I45" si="29">C44/C$36</f>
        <v>0.12449392712550607</v>
      </c>
      <c r="D45" s="512">
        <f t="shared" si="29"/>
        <v>0.11935953420669577</v>
      </c>
      <c r="E45" s="512">
        <f t="shared" si="29"/>
        <v>9.8709187547456334E-2</v>
      </c>
      <c r="F45" s="512">
        <f t="shared" si="29"/>
        <v>0.17504051863857376</v>
      </c>
      <c r="G45" s="512">
        <f t="shared" si="29"/>
        <v>0.15331850203930292</v>
      </c>
      <c r="H45" s="512">
        <f t="shared" si="29"/>
        <v>0</v>
      </c>
      <c r="I45" s="512">
        <f t="shared" si="29"/>
        <v>0.18759018759018758</v>
      </c>
      <c r="J45" s="512">
        <f t="shared" si="20"/>
        <v>0.14875762145151775</v>
      </c>
    </row>
    <row r="46" spans="1:10" x14ac:dyDescent="0.15">
      <c r="B46" s="40">
        <f>SUM(B38,B40,B42,B44)</f>
        <v>1712</v>
      </c>
      <c r="C46" s="40">
        <f t="shared" ref="C46:I46" si="30">SUM(C38,C40,C42,C44)</f>
        <v>1976</v>
      </c>
      <c r="D46" s="40">
        <f t="shared" si="30"/>
        <v>1374</v>
      </c>
      <c r="E46" s="40">
        <f t="shared" si="30"/>
        <v>1317</v>
      </c>
      <c r="F46" s="40">
        <f t="shared" si="30"/>
        <v>1234</v>
      </c>
      <c r="G46" s="40">
        <f>SUM(G38,G40,G42,G44)</f>
        <v>5394</v>
      </c>
      <c r="H46" s="40">
        <f t="shared" si="30"/>
        <v>167</v>
      </c>
      <c r="I46" s="40">
        <f t="shared" si="30"/>
        <v>2079</v>
      </c>
    </row>
    <row r="47" spans="1:10" x14ac:dyDescent="0.15">
      <c r="B47" s="40"/>
      <c r="C47" s="40"/>
      <c r="D47" s="40"/>
      <c r="E47" s="40"/>
      <c r="F47" s="40"/>
      <c r="G47" s="40"/>
      <c r="H47" s="40"/>
      <c r="I47" s="40"/>
    </row>
    <row r="49" spans="1:19" hidden="1" x14ac:dyDescent="0.15">
      <c r="A49" s="377" t="s">
        <v>370</v>
      </c>
      <c r="B49" s="377" t="s">
        <v>384</v>
      </c>
      <c r="C49" s="377" t="s">
        <v>385</v>
      </c>
      <c r="D49" s="377" t="s">
        <v>386</v>
      </c>
      <c r="E49" s="377" t="s">
        <v>387</v>
      </c>
      <c r="F49" s="377" t="s">
        <v>388</v>
      </c>
      <c r="G49" s="377" t="s">
        <v>389</v>
      </c>
      <c r="H49" s="377" t="s">
        <v>390</v>
      </c>
      <c r="I49" s="377" t="s">
        <v>391</v>
      </c>
      <c r="J49" s="377" t="s">
        <v>392</v>
      </c>
      <c r="K49" s="377" t="s">
        <v>393</v>
      </c>
      <c r="L49" s="377" t="s">
        <v>394</v>
      </c>
      <c r="M49" s="377" t="s">
        <v>395</v>
      </c>
      <c r="N49" s="377" t="s">
        <v>396</v>
      </c>
      <c r="O49" s="377" t="s">
        <v>397</v>
      </c>
      <c r="P49" s="377" t="s">
        <v>398</v>
      </c>
      <c r="Q49" s="377" t="s">
        <v>399</v>
      </c>
      <c r="R49" s="377" t="s">
        <v>400</v>
      </c>
      <c r="S49" s="377" t="s">
        <v>401</v>
      </c>
    </row>
    <row r="50" spans="1:19" hidden="1" x14ac:dyDescent="0.15">
      <c r="A50" s="54" t="s">
        <v>182</v>
      </c>
      <c r="B50" s="532">
        <v>30</v>
      </c>
      <c r="C50" s="532">
        <v>145</v>
      </c>
      <c r="D50" s="532">
        <v>30</v>
      </c>
      <c r="E50" s="532">
        <v>82</v>
      </c>
      <c r="F50" s="532">
        <v>122</v>
      </c>
      <c r="G50" s="532">
        <v>112</v>
      </c>
      <c r="H50" s="532">
        <v>32</v>
      </c>
      <c r="I50" s="532">
        <v>18</v>
      </c>
      <c r="J50" s="532">
        <v>8</v>
      </c>
      <c r="K50" s="532">
        <v>134</v>
      </c>
      <c r="L50" s="532">
        <v>97</v>
      </c>
      <c r="M50" s="532">
        <v>56</v>
      </c>
      <c r="N50" s="532">
        <v>66</v>
      </c>
      <c r="O50" s="532">
        <v>165</v>
      </c>
      <c r="P50" s="532">
        <v>119</v>
      </c>
      <c r="Q50" s="532">
        <v>87</v>
      </c>
      <c r="R50" s="532">
        <v>90</v>
      </c>
      <c r="S50" s="532">
        <v>311</v>
      </c>
    </row>
    <row r="51" spans="1:19" hidden="1" x14ac:dyDescent="0.15">
      <c r="A51" s="54" t="s">
        <v>183</v>
      </c>
      <c r="B51" s="532">
        <v>25</v>
      </c>
      <c r="C51" s="532">
        <v>169</v>
      </c>
      <c r="D51" s="532">
        <v>19</v>
      </c>
      <c r="E51" s="532">
        <v>114</v>
      </c>
      <c r="F51" s="532">
        <v>121</v>
      </c>
      <c r="G51" s="532">
        <v>101</v>
      </c>
      <c r="H51" s="532">
        <v>41</v>
      </c>
      <c r="I51" s="532">
        <v>31</v>
      </c>
      <c r="J51" s="532">
        <v>26</v>
      </c>
      <c r="K51" s="532">
        <v>127</v>
      </c>
      <c r="L51" s="532">
        <v>92</v>
      </c>
      <c r="M51" s="532">
        <v>48</v>
      </c>
      <c r="N51" s="532">
        <v>62</v>
      </c>
      <c r="O51" s="532">
        <v>173</v>
      </c>
      <c r="P51" s="532">
        <v>160</v>
      </c>
      <c r="Q51" s="532">
        <v>99</v>
      </c>
      <c r="R51" s="532">
        <v>71</v>
      </c>
      <c r="S51" s="532">
        <v>334</v>
      </c>
    </row>
    <row r="52" spans="1:19" hidden="1" x14ac:dyDescent="0.15">
      <c r="A52" s="54" t="s">
        <v>184</v>
      </c>
      <c r="B52" s="532">
        <v>41</v>
      </c>
      <c r="C52" s="532">
        <v>73</v>
      </c>
      <c r="D52" s="532">
        <v>14</v>
      </c>
      <c r="E52" s="532">
        <v>108</v>
      </c>
      <c r="F52" s="532">
        <v>60</v>
      </c>
      <c r="G52" s="532">
        <v>69</v>
      </c>
      <c r="H52" s="532">
        <v>19</v>
      </c>
      <c r="I52" s="532">
        <v>18</v>
      </c>
      <c r="J52" s="532">
        <v>19</v>
      </c>
      <c r="K52" s="532">
        <v>73</v>
      </c>
      <c r="L52" s="532">
        <v>66</v>
      </c>
      <c r="M52" s="532">
        <v>36</v>
      </c>
      <c r="N52" s="532">
        <v>66</v>
      </c>
      <c r="O52" s="532">
        <v>144</v>
      </c>
      <c r="P52" s="532">
        <v>172</v>
      </c>
      <c r="Q52" s="532">
        <v>93</v>
      </c>
      <c r="R52" s="532">
        <v>3</v>
      </c>
      <c r="S52" s="532">
        <v>166</v>
      </c>
    </row>
    <row r="53" spans="1:19" hidden="1" x14ac:dyDescent="0.15">
      <c r="A53" s="54" t="s">
        <v>185</v>
      </c>
      <c r="B53" s="532">
        <v>48</v>
      </c>
      <c r="C53" s="532">
        <v>68</v>
      </c>
      <c r="D53" s="532">
        <v>21</v>
      </c>
      <c r="E53" s="532">
        <v>134</v>
      </c>
      <c r="F53" s="532">
        <v>63</v>
      </c>
      <c r="G53" s="532">
        <v>60</v>
      </c>
      <c r="H53" s="532">
        <v>28</v>
      </c>
      <c r="I53" s="532">
        <v>15</v>
      </c>
      <c r="J53" s="532">
        <v>22</v>
      </c>
      <c r="K53" s="532">
        <v>60</v>
      </c>
      <c r="L53" s="532">
        <v>61</v>
      </c>
      <c r="M53" s="532">
        <v>39</v>
      </c>
      <c r="N53" s="532">
        <v>93</v>
      </c>
      <c r="O53" s="532">
        <v>206</v>
      </c>
      <c r="P53" s="532">
        <v>218</v>
      </c>
      <c r="Q53" s="532">
        <v>121</v>
      </c>
      <c r="R53" s="532">
        <v>3</v>
      </c>
      <c r="S53" s="532">
        <v>174</v>
      </c>
    </row>
    <row r="54" spans="1:19" hidden="1" x14ac:dyDescent="0.15">
      <c r="A54" s="54" t="s">
        <v>186</v>
      </c>
      <c r="B54" s="532">
        <v>35</v>
      </c>
      <c r="C54" s="532">
        <v>41</v>
      </c>
      <c r="D54" s="532">
        <v>13</v>
      </c>
      <c r="E54" s="532">
        <v>110</v>
      </c>
      <c r="F54" s="532">
        <v>42</v>
      </c>
      <c r="G54" s="532">
        <v>52</v>
      </c>
      <c r="H54" s="532">
        <v>16</v>
      </c>
      <c r="I54" s="532">
        <v>12</v>
      </c>
      <c r="J54" s="532">
        <v>10</v>
      </c>
      <c r="K54" s="532">
        <v>36</v>
      </c>
      <c r="L54" s="532">
        <v>26</v>
      </c>
      <c r="M54" s="532">
        <v>25</v>
      </c>
      <c r="N54" s="532">
        <v>62</v>
      </c>
      <c r="O54" s="532">
        <v>149</v>
      </c>
      <c r="P54" s="532">
        <v>175</v>
      </c>
      <c r="Q54" s="532">
        <v>105</v>
      </c>
      <c r="R54" s="532"/>
      <c r="S54" s="532">
        <v>99</v>
      </c>
    </row>
    <row r="55" spans="1:19" hidden="1" x14ac:dyDescent="0.15">
      <c r="A55" s="54" t="s">
        <v>187</v>
      </c>
      <c r="B55" s="532">
        <v>24</v>
      </c>
      <c r="C55" s="532">
        <v>40</v>
      </c>
      <c r="D55" s="532">
        <v>14</v>
      </c>
      <c r="E55" s="532">
        <v>100</v>
      </c>
      <c r="F55" s="532">
        <v>21</v>
      </c>
      <c r="G55" s="532">
        <v>46</v>
      </c>
      <c r="H55" s="532">
        <v>15</v>
      </c>
      <c r="I55" s="532">
        <v>16</v>
      </c>
      <c r="J55" s="532">
        <v>9</v>
      </c>
      <c r="K55" s="532">
        <v>36</v>
      </c>
      <c r="L55" s="532">
        <v>11</v>
      </c>
      <c r="M55" s="532">
        <v>25</v>
      </c>
      <c r="N55" s="532">
        <v>45</v>
      </c>
      <c r="O55" s="532">
        <v>109</v>
      </c>
      <c r="P55" s="532">
        <v>178</v>
      </c>
      <c r="Q55" s="532">
        <v>87</v>
      </c>
      <c r="R55" s="532"/>
      <c r="S55" s="532">
        <v>87</v>
      </c>
    </row>
    <row r="56" spans="1:19" hidden="1" x14ac:dyDescent="0.15">
      <c r="A56" s="54" t="s">
        <v>188</v>
      </c>
      <c r="B56" s="532">
        <v>39</v>
      </c>
      <c r="C56" s="532">
        <v>46</v>
      </c>
      <c r="D56" s="532">
        <v>24</v>
      </c>
      <c r="E56" s="532">
        <v>135</v>
      </c>
      <c r="F56" s="532">
        <v>39</v>
      </c>
      <c r="G56" s="532">
        <v>45</v>
      </c>
      <c r="H56" s="532">
        <v>21</v>
      </c>
      <c r="I56" s="532">
        <v>22</v>
      </c>
      <c r="J56" s="532">
        <v>9</v>
      </c>
      <c r="K56" s="532">
        <v>67</v>
      </c>
      <c r="L56" s="532">
        <v>50</v>
      </c>
      <c r="M56" s="532">
        <v>38</v>
      </c>
      <c r="N56" s="532">
        <v>53</v>
      </c>
      <c r="O56" s="532">
        <v>210</v>
      </c>
      <c r="P56" s="532">
        <v>233</v>
      </c>
      <c r="Q56" s="532">
        <v>111</v>
      </c>
      <c r="R56" s="532"/>
      <c r="S56" s="532">
        <v>129</v>
      </c>
    </row>
    <row r="57" spans="1:19" hidden="1" x14ac:dyDescent="0.15">
      <c r="A57" s="54" t="s">
        <v>189</v>
      </c>
      <c r="B57" s="532">
        <v>41</v>
      </c>
      <c r="C57" s="532">
        <v>50</v>
      </c>
      <c r="D57" s="532">
        <v>29</v>
      </c>
      <c r="E57" s="532">
        <v>157</v>
      </c>
      <c r="F57" s="532">
        <v>31</v>
      </c>
      <c r="G57" s="532">
        <v>63</v>
      </c>
      <c r="H57" s="532">
        <v>10</v>
      </c>
      <c r="I57" s="532">
        <v>16</v>
      </c>
      <c r="J57" s="532">
        <v>10</v>
      </c>
      <c r="K57" s="532">
        <v>33</v>
      </c>
      <c r="L57" s="532">
        <v>19</v>
      </c>
      <c r="M57" s="532">
        <v>22</v>
      </c>
      <c r="N57" s="532">
        <v>45</v>
      </c>
      <c r="O57" s="532">
        <v>102</v>
      </c>
      <c r="P57" s="532">
        <v>193</v>
      </c>
      <c r="Q57" s="532">
        <v>92</v>
      </c>
      <c r="R57" s="532"/>
      <c r="S57" s="532">
        <v>95</v>
      </c>
    </row>
    <row r="58" spans="1:19" hidden="1" x14ac:dyDescent="0.15">
      <c r="A58" s="54" t="s">
        <v>190</v>
      </c>
      <c r="B58" s="532">
        <v>36</v>
      </c>
      <c r="C58" s="532">
        <v>42</v>
      </c>
      <c r="D58" s="532">
        <v>9</v>
      </c>
      <c r="E58" s="532">
        <v>64</v>
      </c>
      <c r="F58" s="532">
        <v>20</v>
      </c>
      <c r="G58" s="532">
        <v>27</v>
      </c>
      <c r="H58" s="532">
        <v>7</v>
      </c>
      <c r="I58" s="532">
        <v>13</v>
      </c>
      <c r="J58" s="532">
        <v>13</v>
      </c>
      <c r="K58" s="532">
        <v>35</v>
      </c>
      <c r="L58" s="532">
        <v>20</v>
      </c>
      <c r="M58" s="532">
        <v>26</v>
      </c>
      <c r="N58" s="532">
        <v>35</v>
      </c>
      <c r="O58" s="532">
        <v>76</v>
      </c>
      <c r="P58" s="532">
        <v>166</v>
      </c>
      <c r="Q58" s="532">
        <v>71</v>
      </c>
      <c r="R58" s="532"/>
      <c r="S58" s="532">
        <v>71</v>
      </c>
    </row>
    <row r="59" spans="1:19" hidden="1" x14ac:dyDescent="0.15">
      <c r="A59" s="54" t="s">
        <v>191</v>
      </c>
      <c r="B59" s="532">
        <v>19</v>
      </c>
      <c r="C59" s="532">
        <v>33</v>
      </c>
      <c r="D59" s="532">
        <v>17</v>
      </c>
      <c r="E59" s="532">
        <v>46</v>
      </c>
      <c r="F59" s="532">
        <v>19</v>
      </c>
      <c r="G59" s="532">
        <v>18</v>
      </c>
      <c r="H59" s="532">
        <v>11</v>
      </c>
      <c r="I59" s="532">
        <v>9</v>
      </c>
      <c r="J59" s="532">
        <v>6</v>
      </c>
      <c r="K59" s="532">
        <v>21</v>
      </c>
      <c r="L59" s="532">
        <v>15</v>
      </c>
      <c r="M59" s="532">
        <v>15</v>
      </c>
      <c r="N59" s="532">
        <v>22</v>
      </c>
      <c r="O59" s="532">
        <v>42</v>
      </c>
      <c r="P59" s="532">
        <v>98</v>
      </c>
      <c r="Q59" s="532">
        <v>64</v>
      </c>
      <c r="R59" s="532"/>
      <c r="S59" s="532">
        <v>43</v>
      </c>
    </row>
    <row r="60" spans="1:19" hidden="1" x14ac:dyDescent="0.15">
      <c r="A60" s="54" t="s">
        <v>192</v>
      </c>
      <c r="B60" s="532">
        <v>20</v>
      </c>
      <c r="C60" s="532">
        <v>32</v>
      </c>
      <c r="D60" s="532">
        <v>16</v>
      </c>
      <c r="E60" s="532">
        <v>22</v>
      </c>
      <c r="F60" s="532">
        <v>7</v>
      </c>
      <c r="G60" s="532">
        <v>27</v>
      </c>
      <c r="H60" s="532">
        <v>5</v>
      </c>
      <c r="I60" s="532">
        <v>6</v>
      </c>
      <c r="J60" s="532">
        <v>6</v>
      </c>
      <c r="K60" s="532">
        <v>17</v>
      </c>
      <c r="L60" s="532">
        <v>16</v>
      </c>
      <c r="M60" s="532">
        <v>19</v>
      </c>
      <c r="N60" s="532">
        <v>21</v>
      </c>
      <c r="O60" s="532">
        <v>42</v>
      </c>
      <c r="P60" s="532">
        <v>86</v>
      </c>
      <c r="Q60" s="532">
        <v>42</v>
      </c>
      <c r="R60" s="532"/>
      <c r="S60" s="532">
        <v>53</v>
      </c>
    </row>
    <row r="61" spans="1:19" hidden="1" x14ac:dyDescent="0.15">
      <c r="A61" s="54" t="s">
        <v>193</v>
      </c>
      <c r="B61" s="532">
        <v>13</v>
      </c>
      <c r="C61" s="532">
        <v>23</v>
      </c>
      <c r="D61" s="532">
        <v>9</v>
      </c>
      <c r="E61" s="532">
        <v>39</v>
      </c>
      <c r="F61" s="532">
        <v>10</v>
      </c>
      <c r="G61" s="532">
        <v>11</v>
      </c>
      <c r="H61" s="532">
        <v>3</v>
      </c>
      <c r="I61" s="532">
        <v>4</v>
      </c>
      <c r="J61" s="532">
        <v>9</v>
      </c>
      <c r="K61" s="532">
        <v>15</v>
      </c>
      <c r="L61" s="532">
        <v>10</v>
      </c>
      <c r="M61" s="532">
        <v>20</v>
      </c>
      <c r="N61" s="532">
        <v>22</v>
      </c>
      <c r="O61" s="532">
        <v>33</v>
      </c>
      <c r="P61" s="532">
        <v>82</v>
      </c>
      <c r="Q61" s="532">
        <v>36</v>
      </c>
      <c r="R61" s="532"/>
      <c r="S61" s="532">
        <v>46</v>
      </c>
    </row>
    <row r="62" spans="1:19" hidden="1" x14ac:dyDescent="0.15">
      <c r="A62" s="54" t="s">
        <v>194</v>
      </c>
      <c r="B62" s="532">
        <v>7</v>
      </c>
      <c r="C62" s="532">
        <v>18</v>
      </c>
      <c r="D62" s="532">
        <v>5</v>
      </c>
      <c r="E62" s="532">
        <v>27</v>
      </c>
      <c r="F62" s="532">
        <v>9</v>
      </c>
      <c r="G62" s="532">
        <v>11</v>
      </c>
      <c r="H62" s="532">
        <v>6</v>
      </c>
      <c r="I62" s="532">
        <v>7</v>
      </c>
      <c r="J62" s="532">
        <v>5</v>
      </c>
      <c r="K62" s="532">
        <v>18</v>
      </c>
      <c r="L62" s="532">
        <v>9</v>
      </c>
      <c r="M62" s="532">
        <v>8</v>
      </c>
      <c r="N62" s="532">
        <v>17</v>
      </c>
      <c r="O62" s="532">
        <v>35</v>
      </c>
      <c r="P62" s="532">
        <v>53</v>
      </c>
      <c r="Q62" s="532">
        <v>30</v>
      </c>
      <c r="R62" s="532"/>
      <c r="S62" s="532">
        <v>41</v>
      </c>
    </row>
    <row r="63" spans="1:19" hidden="1" x14ac:dyDescent="0.15">
      <c r="A63" s="54" t="s">
        <v>195</v>
      </c>
      <c r="B63" s="532">
        <v>11</v>
      </c>
      <c r="C63" s="532">
        <v>20</v>
      </c>
      <c r="D63" s="532">
        <v>7</v>
      </c>
      <c r="E63" s="532">
        <v>16</v>
      </c>
      <c r="F63" s="532">
        <v>12</v>
      </c>
      <c r="G63" s="532">
        <v>5</v>
      </c>
      <c r="H63" s="532">
        <v>2</v>
      </c>
      <c r="I63" s="532">
        <v>2</v>
      </c>
      <c r="J63" s="532">
        <v>6</v>
      </c>
      <c r="K63" s="532">
        <v>14</v>
      </c>
      <c r="L63" s="532">
        <v>9</v>
      </c>
      <c r="M63" s="532">
        <v>16</v>
      </c>
      <c r="N63" s="532">
        <v>16</v>
      </c>
      <c r="O63" s="532">
        <v>23</v>
      </c>
      <c r="P63" s="532">
        <v>62</v>
      </c>
      <c r="Q63" s="532">
        <v>25</v>
      </c>
      <c r="R63" s="532"/>
      <c r="S63" s="532">
        <v>40</v>
      </c>
    </row>
    <row r="64" spans="1:19" hidden="1" x14ac:dyDescent="0.15">
      <c r="A64" s="54" t="s">
        <v>196</v>
      </c>
      <c r="B64" s="532">
        <v>62</v>
      </c>
      <c r="C64" s="532">
        <v>59</v>
      </c>
      <c r="D64" s="532">
        <v>53</v>
      </c>
      <c r="E64" s="532">
        <v>115</v>
      </c>
      <c r="F64" s="532">
        <v>56</v>
      </c>
      <c r="G64" s="532">
        <v>62</v>
      </c>
      <c r="H64" s="532">
        <v>8</v>
      </c>
      <c r="I64" s="532">
        <v>23</v>
      </c>
      <c r="J64" s="532">
        <v>17</v>
      </c>
      <c r="K64" s="532">
        <v>55</v>
      </c>
      <c r="L64" s="532">
        <v>29</v>
      </c>
      <c r="M64" s="532">
        <v>49</v>
      </c>
      <c r="N64" s="532">
        <v>88</v>
      </c>
      <c r="O64" s="532">
        <v>115</v>
      </c>
      <c r="P64" s="532">
        <v>290</v>
      </c>
      <c r="Q64" s="532">
        <v>129</v>
      </c>
      <c r="R64" s="532"/>
      <c r="S64" s="532">
        <v>203</v>
      </c>
    </row>
    <row r="65" spans="1:19" hidden="1" x14ac:dyDescent="0.15">
      <c r="A65" s="54" t="s">
        <v>197</v>
      </c>
      <c r="B65" s="532">
        <v>59</v>
      </c>
      <c r="C65" s="532">
        <v>21</v>
      </c>
      <c r="D65" s="532">
        <v>42</v>
      </c>
      <c r="E65" s="532">
        <v>56</v>
      </c>
      <c r="F65" s="532">
        <v>19</v>
      </c>
      <c r="G65" s="532">
        <v>30</v>
      </c>
      <c r="H65" s="532">
        <v>3</v>
      </c>
      <c r="I65" s="532">
        <v>8</v>
      </c>
      <c r="J65" s="532">
        <v>13</v>
      </c>
      <c r="K65" s="532">
        <v>28</v>
      </c>
      <c r="L65" s="532">
        <v>18</v>
      </c>
      <c r="M65" s="532">
        <v>25</v>
      </c>
      <c r="N65" s="532">
        <v>54</v>
      </c>
      <c r="O65" s="532">
        <v>69</v>
      </c>
      <c r="P65" s="532">
        <v>144</v>
      </c>
      <c r="Q65" s="532">
        <v>80</v>
      </c>
      <c r="R65" s="532"/>
      <c r="S65" s="532">
        <v>187</v>
      </c>
    </row>
    <row r="66" spans="1:19" hidden="1" x14ac:dyDescent="0.15"/>
    <row r="67" spans="1:19" hidden="1" x14ac:dyDescent="0.15"/>
    <row r="68" spans="1:19" hidden="1" x14ac:dyDescent="0.15"/>
  </sheetData>
  <mergeCells count="5">
    <mergeCell ref="A4:A5"/>
    <mergeCell ref="A34:A35"/>
    <mergeCell ref="A36:A37"/>
    <mergeCell ref="A38:A39"/>
    <mergeCell ref="A44:A45"/>
  </mergeCells>
  <phoneticPr fontId="2"/>
  <printOptions horizontalCentered="1"/>
  <pageMargins left="0.70866141732283472" right="0.70866141732283472" top="0.74803149606299213" bottom="0.74803149606299213" header="0.31496062992125984" footer="0.31496062992125984"/>
  <pageSetup paperSize="9" scale="94" orientation="portrait" r:id="rId1"/>
  <ignoredErrors>
    <ignoredError sqref="B4:J4 B5:I5" formulaRange="1"/>
    <ignoredError sqref="B6:J45 J5" formula="1"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Button 1">
              <controlPr defaultSize="0" print="0" autoFill="0" autoPict="0" macro="[0]!データ削除28">
                <anchor moveWithCells="1" sizeWithCells="1">
                  <from>
                    <xdr:col>20</xdr:col>
                    <xdr:colOff>190500</xdr:colOff>
                    <xdr:row>49</xdr:row>
                    <xdr:rowOff>28575</xdr:rowOff>
                  </from>
                  <to>
                    <xdr:col>22</xdr:col>
                    <xdr:colOff>733425</xdr:colOff>
                    <xdr:row>52</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249977111117893"/>
  </sheetPr>
  <dimension ref="A1:T21"/>
  <sheetViews>
    <sheetView showGridLines="0" zoomScaleNormal="100" zoomScaleSheetLayoutView="80" workbookViewId="0">
      <selection activeCell="L10" sqref="L1:L1048576"/>
    </sheetView>
  </sheetViews>
  <sheetFormatPr defaultRowHeight="18.75" x14ac:dyDescent="0.15"/>
  <cols>
    <col min="1" max="1" width="23.25" style="1" customWidth="1"/>
    <col min="2" max="4" width="9.875" style="1" customWidth="1"/>
    <col min="5" max="5" width="9.5" style="1" bestFit="1" customWidth="1"/>
    <col min="6" max="6" width="5.875" style="1" customWidth="1"/>
    <col min="7" max="7" width="20.75" style="1" hidden="1" customWidth="1"/>
    <col min="8" max="8" width="7.75" style="1" hidden="1" customWidth="1"/>
    <col min="9" max="9" width="5" style="1" hidden="1" customWidth="1"/>
    <col min="10" max="10" width="15.25" style="1" hidden="1" customWidth="1"/>
    <col min="11" max="11" width="13.875" style="1" hidden="1" customWidth="1"/>
    <col min="12" max="12" width="20.375" style="1" hidden="1" customWidth="1"/>
    <col min="13" max="13" width="5" style="1" customWidth="1"/>
    <col min="14" max="14" width="6.625" style="1" customWidth="1"/>
    <col min="15" max="15" width="7.375" style="1" customWidth="1"/>
    <col min="16" max="16384" width="9" style="1"/>
  </cols>
  <sheetData>
    <row r="1" spans="1:20" s="3" customFormat="1" ht="19.5" x14ac:dyDescent="0.15">
      <c r="A1" s="2" t="s">
        <v>118</v>
      </c>
    </row>
    <row r="2" spans="1:20" x14ac:dyDescent="0.15">
      <c r="A2" s="4"/>
      <c r="G2" s="56" t="s">
        <v>63</v>
      </c>
    </row>
    <row r="3" spans="1:20" s="3" customFormat="1" ht="18" customHeight="1" thickBot="1" x14ac:dyDescent="0.2">
      <c r="A3" s="4" t="s">
        <v>13</v>
      </c>
      <c r="G3" s="387" t="s">
        <v>281</v>
      </c>
      <c r="H3" s="494" t="s">
        <v>349</v>
      </c>
      <c r="I3" s="1"/>
      <c r="J3" s="1"/>
    </row>
    <row r="4" spans="1:20" ht="15.75" customHeight="1" thickTop="1" thickBot="1" x14ac:dyDescent="0.2">
      <c r="A4" s="258"/>
      <c r="B4" s="258" t="s">
        <v>0</v>
      </c>
      <c r="C4" s="258" t="s">
        <v>1</v>
      </c>
      <c r="G4" s="419" t="s">
        <v>370</v>
      </c>
      <c r="H4" s="38" t="s">
        <v>582</v>
      </c>
      <c r="J4" s="37"/>
    </row>
    <row r="5" spans="1:20" ht="18" customHeight="1" thickTop="1" x14ac:dyDescent="0.15">
      <c r="A5" s="298" t="s">
        <v>14</v>
      </c>
      <c r="B5" s="261">
        <f>IFERROR(VLOOKUP("措置入院",入院形態[#All],2,FALSE),0)+IFERROR(VLOOKUP("緊急措置入院",入院形態[#All],2,FALSE),0)</f>
        <v>91</v>
      </c>
      <c r="C5" s="300">
        <f>IFERROR(B5/B$10,"-")</f>
        <v>5.9660394676457089E-3</v>
      </c>
      <c r="G5" s="40" t="s">
        <v>16</v>
      </c>
      <c r="H5" s="41">
        <v>6622</v>
      </c>
      <c r="J5" s="42"/>
    </row>
    <row r="6" spans="1:20" ht="18" customHeight="1" x14ac:dyDescent="0.15">
      <c r="A6" s="298" t="s">
        <v>15</v>
      </c>
      <c r="B6" s="261">
        <f>IFERROR(VLOOKUP(A6,入院形態[#All],2,FALSE),0)</f>
        <v>8500</v>
      </c>
      <c r="C6" s="300">
        <f t="shared" ref="C6:C9" si="0">IFERROR(B6/B$10,"-")</f>
        <v>0.55726742280207175</v>
      </c>
      <c r="G6" s="40" t="s">
        <v>371</v>
      </c>
      <c r="H6" s="497">
        <v>91</v>
      </c>
      <c r="J6" s="42"/>
    </row>
    <row r="7" spans="1:20" ht="18" customHeight="1" x14ac:dyDescent="0.15">
      <c r="A7" s="298" t="s">
        <v>16</v>
      </c>
      <c r="B7" s="261">
        <f>IFERROR(VLOOKUP(A7,入院形態[#All],2,FALSE),0)</f>
        <v>6622</v>
      </c>
      <c r="C7" s="300">
        <f t="shared" si="0"/>
        <v>0.43414410279944932</v>
      </c>
      <c r="G7" s="40" t="s">
        <v>372</v>
      </c>
      <c r="H7" s="41">
        <v>2</v>
      </c>
      <c r="J7" s="42"/>
    </row>
    <row r="8" spans="1:20" ht="18" customHeight="1" x14ac:dyDescent="0.15">
      <c r="A8" s="298" t="s">
        <v>17</v>
      </c>
      <c r="B8" s="261">
        <f>IFERROR(VLOOKUP(A8,入院形態[#All],2,FALSE),0)</f>
        <v>5</v>
      </c>
      <c r="C8" s="300">
        <f t="shared" si="0"/>
        <v>3.2780436635415985E-4</v>
      </c>
      <c r="G8" s="40" t="s">
        <v>17</v>
      </c>
      <c r="H8" s="41">
        <v>5</v>
      </c>
      <c r="J8" s="42"/>
    </row>
    <row r="9" spans="1:20" ht="18" customHeight="1" x14ac:dyDescent="0.15">
      <c r="A9" s="298" t="s">
        <v>18</v>
      </c>
      <c r="B9" s="261">
        <f>IFERROR(VLOOKUP("鑑定入院",入院形態[#All],2,FALSE),0)+IFERROR(VLOOKUP("医療観察法による入院",入院形態[#All],2,FALSE),0)</f>
        <v>35</v>
      </c>
      <c r="C9" s="300">
        <f t="shared" si="0"/>
        <v>2.294630564479119E-3</v>
      </c>
      <c r="G9" s="40" t="s">
        <v>15</v>
      </c>
      <c r="H9" s="41">
        <v>8500</v>
      </c>
    </row>
    <row r="10" spans="1:20" ht="18" customHeight="1" x14ac:dyDescent="0.15">
      <c r="A10" s="301" t="s">
        <v>11</v>
      </c>
      <c r="B10" s="262">
        <f>SUM(B5:B9)</f>
        <v>15253</v>
      </c>
      <c r="C10" s="263">
        <f>SUM(C5:C9)</f>
        <v>1</v>
      </c>
      <c r="G10" s="43" t="s">
        <v>373</v>
      </c>
      <c r="H10" s="41">
        <v>33</v>
      </c>
    </row>
    <row r="11" spans="1:20" x14ac:dyDescent="0.15">
      <c r="A11" s="38"/>
      <c r="B11" s="44"/>
      <c r="C11" s="45"/>
      <c r="G11" s="43"/>
      <c r="H11" s="41"/>
    </row>
    <row r="12" spans="1:20" x14ac:dyDescent="0.15">
      <c r="A12" s="38"/>
      <c r="B12" s="44"/>
      <c r="C12" s="45"/>
      <c r="G12" s="43"/>
      <c r="H12" s="386"/>
    </row>
    <row r="13" spans="1:20" ht="19.5" thickBot="1" x14ac:dyDescent="0.2">
      <c r="A13" s="38"/>
      <c r="B13" s="44"/>
      <c r="C13" s="45"/>
      <c r="G13" s="496" t="s">
        <v>281</v>
      </c>
      <c r="H13" s="494" t="s">
        <v>28</v>
      </c>
      <c r="J13" s="496" t="s">
        <v>281</v>
      </c>
      <c r="K13" s="494" t="s">
        <v>282</v>
      </c>
    </row>
    <row r="14" spans="1:20" s="3" customFormat="1" ht="21" thickTop="1" thickBot="1" x14ac:dyDescent="0.2">
      <c r="A14" s="4" t="s">
        <v>113</v>
      </c>
      <c r="G14" s="419" t="s">
        <v>370</v>
      </c>
      <c r="H14" s="38" t="s">
        <v>582</v>
      </c>
      <c r="J14" s="419" t="s">
        <v>370</v>
      </c>
      <c r="K14" s="38" t="s">
        <v>582</v>
      </c>
    </row>
    <row r="15" spans="1:20" ht="16.5" customHeight="1" thickTop="1" x14ac:dyDescent="0.15">
      <c r="A15" s="258"/>
      <c r="B15" s="258" t="s">
        <v>114</v>
      </c>
      <c r="C15" s="258" t="s">
        <v>116</v>
      </c>
      <c r="D15" s="258" t="s">
        <v>12</v>
      </c>
      <c r="E15" s="258" t="s">
        <v>1</v>
      </c>
      <c r="G15" s="40" t="s">
        <v>16</v>
      </c>
      <c r="H15" s="41">
        <v>199</v>
      </c>
      <c r="J15" s="40" t="s">
        <v>16</v>
      </c>
      <c r="K15" s="41">
        <v>876</v>
      </c>
      <c r="L15" s="47"/>
    </row>
    <row r="16" spans="1:20" x14ac:dyDescent="0.15">
      <c r="A16" s="298" t="s">
        <v>14</v>
      </c>
      <c r="B16" s="259">
        <f>IFERROR(VLOOKUP("措置入院",入院形態_寛解[#All],2,FALSE),0)+IFERROR(VLOOKUP("緊急措置入院",入院形態_寛解[#All],2,FALSE),0)</f>
        <v>2</v>
      </c>
      <c r="C16" s="259">
        <f>IFERROR(VLOOKUP("措置入院",入院形態_院内寛解[#All],2,FALSE),0)+IFERROR(VLOOKUP("緊急措置入院",入院形態_院内寛解[#All],2,FALSE),0)</f>
        <v>10</v>
      </c>
      <c r="D16" s="259">
        <f>SUM(B16:C16)</f>
        <v>12</v>
      </c>
      <c r="E16" s="300">
        <f>IFERROR(D16/D$21,"-")</f>
        <v>6.7950169875424689E-3</v>
      </c>
      <c r="G16" s="40" t="s">
        <v>371</v>
      </c>
      <c r="H16" s="48">
        <v>2</v>
      </c>
      <c r="I16" s="22"/>
      <c r="J16" s="40" t="s">
        <v>371</v>
      </c>
      <c r="K16" s="48">
        <v>10</v>
      </c>
      <c r="L16" s="49"/>
      <c r="M16" s="22"/>
      <c r="N16" s="22"/>
      <c r="O16" s="22"/>
      <c r="P16" s="22"/>
      <c r="Q16" s="22"/>
      <c r="R16" s="22"/>
      <c r="S16" s="22"/>
      <c r="T16" s="22"/>
    </row>
    <row r="17" spans="1:20" x14ac:dyDescent="0.15">
      <c r="A17" s="298" t="s">
        <v>15</v>
      </c>
      <c r="B17" s="259">
        <f>IFERROR(VLOOKUP(A17,入院形態_寛解[#All],2,FALSE),0)</f>
        <v>136</v>
      </c>
      <c r="C17" s="259">
        <f>IFERROR(VLOOKUP(A17,入院形態_院内寛解[#All],2,FALSE),0)</f>
        <v>539</v>
      </c>
      <c r="D17" s="259">
        <f t="shared" ref="D17:D20" si="1">SUM(B17:C17)</f>
        <v>675</v>
      </c>
      <c r="E17" s="300">
        <f t="shared" ref="E17:E20" si="2">IFERROR(D17/D$21,"-")</f>
        <v>0.38221970554926388</v>
      </c>
      <c r="G17" s="40" t="s">
        <v>17</v>
      </c>
      <c r="H17" s="48">
        <v>1</v>
      </c>
      <c r="I17" s="22"/>
      <c r="J17" s="40" t="s">
        <v>372</v>
      </c>
      <c r="K17" s="48">
        <v>1</v>
      </c>
      <c r="L17" s="49"/>
      <c r="M17" s="22"/>
      <c r="N17" s="22"/>
      <c r="O17" s="22"/>
      <c r="P17" s="22"/>
      <c r="Q17" s="22"/>
      <c r="R17" s="22"/>
      <c r="S17" s="22"/>
      <c r="T17" s="22"/>
    </row>
    <row r="18" spans="1:20" x14ac:dyDescent="0.15">
      <c r="A18" s="298" t="s">
        <v>16</v>
      </c>
      <c r="B18" s="259">
        <f>IFERROR(VLOOKUP(A18,入院形態_寛解[#All],2,FALSE),0)</f>
        <v>199</v>
      </c>
      <c r="C18" s="259">
        <f>IFERROR(VLOOKUP(A18,入院形態_院内寛解[#All],2,FALSE),0)</f>
        <v>876</v>
      </c>
      <c r="D18" s="259">
        <f t="shared" si="1"/>
        <v>1075</v>
      </c>
      <c r="E18" s="300">
        <f t="shared" si="2"/>
        <v>0.60872027180067945</v>
      </c>
      <c r="G18" s="40" t="s">
        <v>15</v>
      </c>
      <c r="H18" s="48">
        <v>136</v>
      </c>
      <c r="I18" s="22"/>
      <c r="J18" s="40" t="s">
        <v>15</v>
      </c>
      <c r="K18" s="48">
        <v>539</v>
      </c>
      <c r="L18" s="49"/>
      <c r="M18" s="22"/>
      <c r="N18" s="22"/>
      <c r="O18" s="22"/>
      <c r="P18" s="22"/>
      <c r="Q18" s="22"/>
      <c r="R18" s="22"/>
      <c r="S18" s="22"/>
      <c r="T18" s="22"/>
    </row>
    <row r="19" spans="1:20" x14ac:dyDescent="0.15">
      <c r="A19" s="298" t="s">
        <v>17</v>
      </c>
      <c r="B19" s="259">
        <f>IFERROR(VLOOKUP(A19,入院形態_寛解[#All],2,FALSE),0)</f>
        <v>1</v>
      </c>
      <c r="C19" s="259">
        <f>IFERROR(VLOOKUP(A19,入院形態_院内寛解[#All],2,FALSE),0)</f>
        <v>0</v>
      </c>
      <c r="D19" s="259">
        <f t="shared" si="1"/>
        <v>1</v>
      </c>
      <c r="E19" s="300">
        <f t="shared" si="2"/>
        <v>5.6625141562853911E-4</v>
      </c>
      <c r="G19" s="40" t="s">
        <v>373</v>
      </c>
      <c r="H19" s="48">
        <v>1</v>
      </c>
      <c r="I19" s="22"/>
      <c r="J19" s="40" t="s">
        <v>373</v>
      </c>
      <c r="K19" s="48">
        <v>1</v>
      </c>
      <c r="L19" s="49"/>
      <c r="M19" s="22"/>
      <c r="N19" s="22"/>
      <c r="O19" s="22"/>
      <c r="P19" s="22"/>
      <c r="Q19" s="22"/>
      <c r="R19" s="22"/>
      <c r="S19" s="22"/>
      <c r="T19" s="22"/>
    </row>
    <row r="20" spans="1:20" x14ac:dyDescent="0.15">
      <c r="A20" s="298" t="s">
        <v>18</v>
      </c>
      <c r="B20" s="261">
        <f>IFERROR(VLOOKUP("鑑定入院",入院形態_寛解[#All],2,FALSE),0)+IFERROR(VLOOKUP("医療観察法による入院",入院形態_寛解[#All],2,FALSE),0)</f>
        <v>1</v>
      </c>
      <c r="C20" s="261">
        <f>IFERROR(VLOOKUP("鑑定入院",入院形態_院内寛解[#All],2,FALSE),0)+IFERROR(VLOOKUP("医療観察法による入院",入院形態_院内寛解[#All],2,FALSE),0)</f>
        <v>2</v>
      </c>
      <c r="D20" s="259">
        <f t="shared" si="1"/>
        <v>3</v>
      </c>
      <c r="E20" s="300">
        <f t="shared" si="2"/>
        <v>1.6987542468856172E-3</v>
      </c>
      <c r="G20" s="43" t="s">
        <v>262</v>
      </c>
      <c r="H20" s="48">
        <v>339</v>
      </c>
      <c r="J20" s="43" t="s">
        <v>262</v>
      </c>
      <c r="K20" s="48">
        <v>1427</v>
      </c>
      <c r="L20" s="52"/>
    </row>
    <row r="21" spans="1:20" x14ac:dyDescent="0.15">
      <c r="A21" s="301" t="s">
        <v>11</v>
      </c>
      <c r="B21" s="262">
        <f>SUM(B16:B20)</f>
        <v>339</v>
      </c>
      <c r="C21" s="262">
        <f>SUM(C16:C20)</f>
        <v>1427</v>
      </c>
      <c r="D21" s="262">
        <f>SUM(D16:D20)</f>
        <v>1766</v>
      </c>
      <c r="E21" s="263">
        <f>SUM(E16:E20)</f>
        <v>0.99999999999999989</v>
      </c>
      <c r="G21" s="43"/>
      <c r="H21" s="48"/>
      <c r="J21" s="43"/>
      <c r="K21" s="48"/>
    </row>
  </sheetData>
  <phoneticPr fontId="2"/>
  <pageMargins left="0.70866141732283472" right="0.70866141732283472" top="0.74803149606299213" bottom="0.74803149606299213"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0]!データ削除2">
                <anchor moveWithCells="1" sizeWithCells="1">
                  <from>
                    <xdr:col>11</xdr:col>
                    <xdr:colOff>533400</xdr:colOff>
                    <xdr:row>2</xdr:row>
                    <xdr:rowOff>152400</xdr:rowOff>
                  </from>
                  <to>
                    <xdr:col>13</xdr:col>
                    <xdr:colOff>285750</xdr:colOff>
                    <xdr:row>5</xdr:row>
                    <xdr:rowOff>9525</xdr:rowOff>
                  </to>
                </anchor>
              </controlPr>
            </control>
          </mc:Choice>
        </mc:AlternateContent>
      </controls>
    </mc:Choice>
  </mc:AlternateContent>
  <tableParts count="3">
    <tablePart r:id="rId5"/>
    <tablePart r:id="rId6"/>
    <tablePart r:id="rId7"/>
  </tablePart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theme="9" tint="-0.499984740745262"/>
    <pageSetUpPr fitToPage="1"/>
  </sheetPr>
  <dimension ref="A1:S29"/>
  <sheetViews>
    <sheetView showGridLines="0" zoomScale="70" zoomScaleNormal="70" zoomScaleSheetLayoutView="90" workbookViewId="0">
      <selection activeCell="L18" sqref="L18"/>
    </sheetView>
  </sheetViews>
  <sheetFormatPr defaultColWidth="13.75" defaultRowHeight="18.75" x14ac:dyDescent="0.15"/>
  <cols>
    <col min="1" max="1" width="10" style="1" customWidth="1"/>
    <col min="2" max="10" width="8.75" style="1" customWidth="1"/>
    <col min="11" max="15" width="7.5" style="1" customWidth="1"/>
    <col min="16" max="19" width="7.5" style="1" hidden="1" customWidth="1"/>
    <col min="20" max="16384" width="13.75" style="1"/>
  </cols>
  <sheetData>
    <row r="1" spans="1:10" s="3" customFormat="1" ht="19.5" x14ac:dyDescent="0.15">
      <c r="A1" s="2" t="s">
        <v>446</v>
      </c>
    </row>
    <row r="2" spans="1:10" x14ac:dyDescent="0.15">
      <c r="A2" s="4"/>
    </row>
    <row r="3" spans="1:10" ht="18.75" customHeight="1" x14ac:dyDescent="0.15">
      <c r="A3" s="506"/>
      <c r="B3" s="506" t="s">
        <v>376</v>
      </c>
      <c r="C3" s="506" t="s">
        <v>377</v>
      </c>
      <c r="D3" s="506" t="s">
        <v>378</v>
      </c>
      <c r="E3" s="506" t="s">
        <v>379</v>
      </c>
      <c r="F3" s="506" t="s">
        <v>380</v>
      </c>
      <c r="G3" s="506" t="s">
        <v>381</v>
      </c>
      <c r="H3" s="506" t="s">
        <v>382</v>
      </c>
      <c r="I3" s="506" t="s">
        <v>383</v>
      </c>
      <c r="J3" s="506" t="s">
        <v>62</v>
      </c>
    </row>
    <row r="4" spans="1:10" s="22" customFormat="1" ht="18.75" customHeight="1" x14ac:dyDescent="0.15">
      <c r="A4" s="721" t="s">
        <v>28</v>
      </c>
      <c r="B4" s="507">
        <f>SUM(B22:D22)</f>
        <v>46</v>
      </c>
      <c r="C4" s="507">
        <f>SUM(E22:F22)</f>
        <v>35</v>
      </c>
      <c r="D4" s="507">
        <f>SUM(G22:J22)</f>
        <v>34</v>
      </c>
      <c r="E4" s="507">
        <f>SUM(K22:L22)</f>
        <v>51</v>
      </c>
      <c r="F4" s="507">
        <f>SUM(M22:N22)</f>
        <v>34</v>
      </c>
      <c r="G4" s="507">
        <f>SUM(O22:Q22)</f>
        <v>77</v>
      </c>
      <c r="H4" s="507">
        <f>R22</f>
        <v>40</v>
      </c>
      <c r="I4" s="507">
        <f>S22</f>
        <v>22</v>
      </c>
      <c r="J4" s="508">
        <f>SUM(B4:I4)</f>
        <v>339</v>
      </c>
    </row>
    <row r="5" spans="1:10" s="22" customFormat="1" ht="18.75" customHeight="1" x14ac:dyDescent="0.15">
      <c r="A5" s="722"/>
      <c r="B5" s="512">
        <f>B4/B$16</f>
        <v>2.6869158878504672E-2</v>
      </c>
      <c r="C5" s="512">
        <f t="shared" ref="C5:J5" si="0">C4/C$16</f>
        <v>1.771255060728745E-2</v>
      </c>
      <c r="D5" s="512">
        <f t="shared" si="0"/>
        <v>2.4745269286754003E-2</v>
      </c>
      <c r="E5" s="512">
        <f t="shared" si="0"/>
        <v>3.8724373576309798E-2</v>
      </c>
      <c r="F5" s="512">
        <f t="shared" si="0"/>
        <v>2.7552674230145867E-2</v>
      </c>
      <c r="G5" s="512">
        <f t="shared" si="0"/>
        <v>1.4275120504263997E-2</v>
      </c>
      <c r="H5" s="512">
        <f t="shared" si="0"/>
        <v>0.23952095808383234</v>
      </c>
      <c r="I5" s="512">
        <f t="shared" si="0"/>
        <v>1.0582010582010581E-2</v>
      </c>
      <c r="J5" s="512">
        <f t="shared" si="0"/>
        <v>2.2225136038812036E-2</v>
      </c>
    </row>
    <row r="6" spans="1:10" s="22" customFormat="1" ht="18.75" customHeight="1" x14ac:dyDescent="0.15">
      <c r="A6" s="721" t="s">
        <v>29</v>
      </c>
      <c r="B6" s="507">
        <f>SUM(B23:D23)</f>
        <v>142</v>
      </c>
      <c r="C6" s="507">
        <f>SUM(E23:F23)</f>
        <v>154</v>
      </c>
      <c r="D6" s="507">
        <f>SUM(G23:J23)</f>
        <v>120</v>
      </c>
      <c r="E6" s="507">
        <f>SUM(K23:L23)</f>
        <v>203</v>
      </c>
      <c r="F6" s="507">
        <f>SUM(M23:N23)</f>
        <v>112</v>
      </c>
      <c r="G6" s="507">
        <f>SUM(O23:Q23)</f>
        <v>386</v>
      </c>
      <c r="H6" s="507">
        <f>R23</f>
        <v>23</v>
      </c>
      <c r="I6" s="507">
        <f>S23</f>
        <v>287</v>
      </c>
      <c r="J6" s="508">
        <f>SUM(B6:I6)</f>
        <v>1427</v>
      </c>
    </row>
    <row r="7" spans="1:10" s="22" customFormat="1" ht="18.75" customHeight="1" x14ac:dyDescent="0.15">
      <c r="A7" s="722"/>
      <c r="B7" s="512">
        <f>B6/B$16</f>
        <v>8.2943925233644855E-2</v>
      </c>
      <c r="C7" s="512">
        <f t="shared" ref="C7:J7" si="1">C6/C$16</f>
        <v>7.7935222672064777E-2</v>
      </c>
      <c r="D7" s="512">
        <f t="shared" si="1"/>
        <v>8.7336244541484712E-2</v>
      </c>
      <c r="E7" s="512">
        <f t="shared" si="1"/>
        <v>0.15413819286256644</v>
      </c>
      <c r="F7" s="512">
        <f t="shared" si="1"/>
        <v>9.0761750405186387E-2</v>
      </c>
      <c r="G7" s="512">
        <f t="shared" si="1"/>
        <v>7.1560993696700034E-2</v>
      </c>
      <c r="H7" s="512">
        <f t="shared" si="1"/>
        <v>0.1377245508982036</v>
      </c>
      <c r="I7" s="512">
        <f t="shared" si="1"/>
        <v>0.13804713804713806</v>
      </c>
      <c r="J7" s="512">
        <f t="shared" si="1"/>
        <v>9.3555366157477213E-2</v>
      </c>
    </row>
    <row r="8" spans="1:10" s="22" customFormat="1" ht="18.75" customHeight="1" x14ac:dyDescent="0.15">
      <c r="A8" s="721" t="s">
        <v>30</v>
      </c>
      <c r="B8" s="507">
        <f>SUM(B24:D24)</f>
        <v>304</v>
      </c>
      <c r="C8" s="507">
        <f>SUM(E24:F24)</f>
        <v>317</v>
      </c>
      <c r="D8" s="507">
        <f>SUM(G24:J24)</f>
        <v>228</v>
      </c>
      <c r="E8" s="507">
        <f>SUM(K24:L24)</f>
        <v>373</v>
      </c>
      <c r="F8" s="507">
        <f>SUM(M24:N24)</f>
        <v>237</v>
      </c>
      <c r="G8" s="507">
        <f>SUM(O24:Q24)</f>
        <v>980</v>
      </c>
      <c r="H8" s="507">
        <f>R24</f>
        <v>24</v>
      </c>
      <c r="I8" s="507">
        <f>S24</f>
        <v>406</v>
      </c>
      <c r="J8" s="508">
        <f>SUM(B8:I8)</f>
        <v>2869</v>
      </c>
    </row>
    <row r="9" spans="1:10" s="22" customFormat="1" ht="18.75" customHeight="1" x14ac:dyDescent="0.15">
      <c r="A9" s="722"/>
      <c r="B9" s="512">
        <f>B8/B$16</f>
        <v>0.17757009345794392</v>
      </c>
      <c r="C9" s="512">
        <f t="shared" ref="C9:J9" si="2">C8/C$16</f>
        <v>0.1604251012145749</v>
      </c>
      <c r="D9" s="512">
        <f t="shared" si="2"/>
        <v>0.16593886462882096</v>
      </c>
      <c r="E9" s="512">
        <f t="shared" si="2"/>
        <v>0.2832194381169324</v>
      </c>
      <c r="F9" s="512">
        <f t="shared" si="2"/>
        <v>0.1920583468395462</v>
      </c>
      <c r="G9" s="512">
        <f t="shared" si="2"/>
        <v>0.18168335187245088</v>
      </c>
      <c r="H9" s="512">
        <f t="shared" si="2"/>
        <v>0.1437125748502994</v>
      </c>
      <c r="I9" s="512">
        <f t="shared" si="2"/>
        <v>0.19528619528619529</v>
      </c>
      <c r="J9" s="512">
        <f t="shared" si="2"/>
        <v>0.18809414541401692</v>
      </c>
    </row>
    <row r="10" spans="1:10" s="22" customFormat="1" ht="18.75" customHeight="1" x14ac:dyDescent="0.15">
      <c r="A10" s="721" t="s">
        <v>31</v>
      </c>
      <c r="B10" s="507">
        <f>SUM(B25:D25)</f>
        <v>665</v>
      </c>
      <c r="C10" s="507">
        <f>SUM(E25:F25)</f>
        <v>751</v>
      </c>
      <c r="D10" s="507">
        <f>SUM(G25:J25)</f>
        <v>561</v>
      </c>
      <c r="E10" s="507">
        <f>SUM(K25:L25)</f>
        <v>479</v>
      </c>
      <c r="F10" s="507">
        <f>SUM(M25:N25)</f>
        <v>564</v>
      </c>
      <c r="G10" s="507">
        <f>SUM(O25:Q25)</f>
        <v>2132</v>
      </c>
      <c r="H10" s="507">
        <f>R25</f>
        <v>61</v>
      </c>
      <c r="I10" s="507">
        <f>S25</f>
        <v>807</v>
      </c>
      <c r="J10" s="508">
        <f>SUM(B10:I10)</f>
        <v>6020</v>
      </c>
    </row>
    <row r="11" spans="1:10" s="22" customFormat="1" ht="18.75" customHeight="1" x14ac:dyDescent="0.15">
      <c r="A11" s="722"/>
      <c r="B11" s="512">
        <f>B10/B$16</f>
        <v>0.38843457943925236</v>
      </c>
      <c r="C11" s="512">
        <f t="shared" ref="C11:J11" si="3">C10/C$16</f>
        <v>0.38006072874493929</v>
      </c>
      <c r="D11" s="512">
        <f t="shared" si="3"/>
        <v>0.40829694323144106</v>
      </c>
      <c r="E11" s="512">
        <f t="shared" si="3"/>
        <v>0.36370539104024296</v>
      </c>
      <c r="F11" s="512">
        <f t="shared" si="3"/>
        <v>0.45705024311183146</v>
      </c>
      <c r="G11" s="512">
        <f t="shared" si="3"/>
        <v>0.39525398591027067</v>
      </c>
      <c r="H11" s="512">
        <f t="shared" si="3"/>
        <v>0.3652694610778443</v>
      </c>
      <c r="I11" s="512">
        <f t="shared" si="3"/>
        <v>0.38816738816738816</v>
      </c>
      <c r="J11" s="512">
        <f t="shared" si="3"/>
        <v>0.39467645709040844</v>
      </c>
    </row>
    <row r="12" spans="1:10" s="22" customFormat="1" ht="18.75" customHeight="1" x14ac:dyDescent="0.15">
      <c r="A12" s="721" t="s">
        <v>32</v>
      </c>
      <c r="B12" s="507">
        <f>SUM(B26:D26)</f>
        <v>471</v>
      </c>
      <c r="C12" s="507">
        <f>SUM(E26:F26)</f>
        <v>607</v>
      </c>
      <c r="D12" s="507">
        <f>SUM(G26:J26)</f>
        <v>341</v>
      </c>
      <c r="E12" s="507">
        <f>SUM(K26:L26)</f>
        <v>189</v>
      </c>
      <c r="F12" s="507">
        <f>SUM(M26:N26)</f>
        <v>227</v>
      </c>
      <c r="G12" s="507">
        <f>SUM(O26:Q26)</f>
        <v>1575</v>
      </c>
      <c r="H12" s="507">
        <f>R26</f>
        <v>17</v>
      </c>
      <c r="I12" s="507">
        <f>S26</f>
        <v>506</v>
      </c>
      <c r="J12" s="508">
        <f>SUM(B12:I12)</f>
        <v>3933</v>
      </c>
    </row>
    <row r="13" spans="1:10" s="22" customFormat="1" ht="18.75" customHeight="1" x14ac:dyDescent="0.15">
      <c r="A13" s="722"/>
      <c r="B13" s="512">
        <f>B12/B$16</f>
        <v>0.27511682242990654</v>
      </c>
      <c r="C13" s="512">
        <f t="shared" ref="C13:J13" si="4">C12/C$16</f>
        <v>0.30718623481781376</v>
      </c>
      <c r="D13" s="512">
        <f t="shared" si="4"/>
        <v>0.24818049490538574</v>
      </c>
      <c r="E13" s="512">
        <f t="shared" si="4"/>
        <v>0.14350797266514806</v>
      </c>
      <c r="F13" s="512">
        <f t="shared" si="4"/>
        <v>0.18395461912479741</v>
      </c>
      <c r="G13" s="512">
        <f t="shared" si="4"/>
        <v>0.29199110122358174</v>
      </c>
      <c r="H13" s="512">
        <f t="shared" si="4"/>
        <v>0.10179640718562874</v>
      </c>
      <c r="I13" s="512">
        <f t="shared" si="4"/>
        <v>0.24338624338624337</v>
      </c>
      <c r="J13" s="512">
        <f t="shared" si="4"/>
        <v>0.25785091457418213</v>
      </c>
    </row>
    <row r="14" spans="1:10" s="22" customFormat="1" ht="18.75" customHeight="1" x14ac:dyDescent="0.15">
      <c r="A14" s="721" t="s">
        <v>33</v>
      </c>
      <c r="B14" s="507">
        <f>SUM(B27:D27)</f>
        <v>84</v>
      </c>
      <c r="C14" s="507">
        <f>SUM(E27:F27)</f>
        <v>112</v>
      </c>
      <c r="D14" s="507">
        <f>SUM(G27:J27)</f>
        <v>90</v>
      </c>
      <c r="E14" s="507">
        <f>SUM(K27:L27)</f>
        <v>22</v>
      </c>
      <c r="F14" s="507">
        <f>SUM(M27:N27)</f>
        <v>60</v>
      </c>
      <c r="G14" s="507">
        <f>SUM(O27:Q27)</f>
        <v>244</v>
      </c>
      <c r="H14" s="507">
        <f>R27</f>
        <v>2</v>
      </c>
      <c r="I14" s="507">
        <f>S27</f>
        <v>51</v>
      </c>
      <c r="J14" s="508">
        <f>SUM(B14:I14)</f>
        <v>665</v>
      </c>
    </row>
    <row r="15" spans="1:10" s="22" customFormat="1" ht="18.75" customHeight="1" x14ac:dyDescent="0.15">
      <c r="A15" s="722"/>
      <c r="B15" s="512">
        <f>B14/B$16</f>
        <v>4.9065420560747662E-2</v>
      </c>
      <c r="C15" s="512">
        <f t="shared" ref="C15:J15" si="5">C14/C$16</f>
        <v>5.6680161943319839E-2</v>
      </c>
      <c r="D15" s="512">
        <f t="shared" si="5"/>
        <v>6.5502183406113537E-2</v>
      </c>
      <c r="E15" s="512">
        <f t="shared" si="5"/>
        <v>1.6704631738800303E-2</v>
      </c>
      <c r="F15" s="512">
        <f t="shared" si="5"/>
        <v>4.8622366288492709E-2</v>
      </c>
      <c r="G15" s="512">
        <f t="shared" si="5"/>
        <v>4.5235446792732663E-2</v>
      </c>
      <c r="H15" s="512">
        <f t="shared" si="5"/>
        <v>1.1976047904191617E-2</v>
      </c>
      <c r="I15" s="512">
        <f t="shared" si="5"/>
        <v>2.4531024531024532E-2</v>
      </c>
      <c r="J15" s="512">
        <f t="shared" si="5"/>
        <v>4.3597980725103257E-2</v>
      </c>
    </row>
    <row r="16" spans="1:10" s="22" customFormat="1" ht="18.75" customHeight="1" x14ac:dyDescent="0.15">
      <c r="A16" s="724" t="s">
        <v>161</v>
      </c>
      <c r="B16" s="620">
        <f>SUM(B4,B6,B8,B10,B12,B14)</f>
        <v>1712</v>
      </c>
      <c r="C16" s="620">
        <f t="shared" ref="C16:J16" si="6">SUM(C4,C6,C8,C10,C12,C14)</f>
        <v>1976</v>
      </c>
      <c r="D16" s="620">
        <f t="shared" si="6"/>
        <v>1374</v>
      </c>
      <c r="E16" s="620">
        <f t="shared" si="6"/>
        <v>1317</v>
      </c>
      <c r="F16" s="620">
        <f t="shared" si="6"/>
        <v>1234</v>
      </c>
      <c r="G16" s="620">
        <f t="shared" si="6"/>
        <v>5394</v>
      </c>
      <c r="H16" s="620">
        <f t="shared" si="6"/>
        <v>167</v>
      </c>
      <c r="I16" s="620">
        <f t="shared" si="6"/>
        <v>2079</v>
      </c>
      <c r="J16" s="621">
        <f t="shared" si="6"/>
        <v>15253</v>
      </c>
    </row>
    <row r="17" spans="1:19" s="22" customFormat="1" ht="18.75" customHeight="1" x14ac:dyDescent="0.15">
      <c r="A17" s="722"/>
      <c r="B17" s="622">
        <f t="shared" ref="B17:J17" si="7">SUM(B5,B7,B9,B11,B13,B15)</f>
        <v>1</v>
      </c>
      <c r="C17" s="622">
        <f t="shared" si="7"/>
        <v>1.0000000000000002</v>
      </c>
      <c r="D17" s="622">
        <f t="shared" si="7"/>
        <v>1</v>
      </c>
      <c r="E17" s="622">
        <f t="shared" si="7"/>
        <v>0.99999999999999989</v>
      </c>
      <c r="F17" s="622">
        <f t="shared" si="7"/>
        <v>1</v>
      </c>
      <c r="G17" s="622">
        <f t="shared" si="7"/>
        <v>1</v>
      </c>
      <c r="H17" s="622">
        <f t="shared" si="7"/>
        <v>1</v>
      </c>
      <c r="I17" s="622">
        <f t="shared" si="7"/>
        <v>1</v>
      </c>
      <c r="J17" s="622">
        <f t="shared" si="7"/>
        <v>1</v>
      </c>
    </row>
    <row r="20" spans="1:19" hidden="1" x14ac:dyDescent="0.15">
      <c r="A20" s="56"/>
      <c r="B20" s="377"/>
      <c r="C20" s="377"/>
      <c r="D20" s="377"/>
      <c r="E20" s="377"/>
      <c r="F20" s="377"/>
      <c r="G20" s="377"/>
      <c r="H20" s="377"/>
      <c r="I20" s="377"/>
    </row>
    <row r="21" spans="1:19" hidden="1" x14ac:dyDescent="0.15">
      <c r="A21" s="377" t="s">
        <v>370</v>
      </c>
      <c r="B21" s="377" t="s">
        <v>384</v>
      </c>
      <c r="C21" s="377" t="s">
        <v>385</v>
      </c>
      <c r="D21" s="377" t="s">
        <v>386</v>
      </c>
      <c r="E21" s="377" t="s">
        <v>387</v>
      </c>
      <c r="F21" s="377" t="s">
        <v>388</v>
      </c>
      <c r="G21" s="377" t="s">
        <v>389</v>
      </c>
      <c r="H21" s="377" t="s">
        <v>390</v>
      </c>
      <c r="I21" s="377" t="s">
        <v>391</v>
      </c>
      <c r="J21" s="377" t="s">
        <v>392</v>
      </c>
      <c r="K21" s="377" t="s">
        <v>393</v>
      </c>
      <c r="L21" s="377" t="s">
        <v>394</v>
      </c>
      <c r="M21" s="377" t="s">
        <v>395</v>
      </c>
      <c r="N21" s="377" t="s">
        <v>396</v>
      </c>
      <c r="O21" s="377" t="s">
        <v>397</v>
      </c>
      <c r="P21" s="377" t="s">
        <v>398</v>
      </c>
      <c r="Q21" s="377" t="s">
        <v>399</v>
      </c>
      <c r="R21" s="377" t="s">
        <v>400</v>
      </c>
      <c r="S21" s="377" t="s">
        <v>401</v>
      </c>
    </row>
    <row r="22" spans="1:19" hidden="1" x14ac:dyDescent="0.15">
      <c r="A22" s="43">
        <v>1</v>
      </c>
      <c r="B22" s="23">
        <v>2</v>
      </c>
      <c r="C22" s="23">
        <v>39</v>
      </c>
      <c r="D22" s="23">
        <v>5</v>
      </c>
      <c r="E22" s="23">
        <v>17</v>
      </c>
      <c r="F22" s="23">
        <v>18</v>
      </c>
      <c r="G22" s="23">
        <v>6</v>
      </c>
      <c r="H22" s="23">
        <v>23</v>
      </c>
      <c r="I22" s="23">
        <v>2</v>
      </c>
      <c r="J22" s="23">
        <v>3</v>
      </c>
      <c r="K22" s="23">
        <v>16</v>
      </c>
      <c r="L22" s="23">
        <v>35</v>
      </c>
      <c r="M22" s="23">
        <v>6</v>
      </c>
      <c r="N22" s="23">
        <v>28</v>
      </c>
      <c r="O22" s="23">
        <v>31</v>
      </c>
      <c r="P22" s="23">
        <v>38</v>
      </c>
      <c r="Q22" s="23">
        <v>8</v>
      </c>
      <c r="R22" s="23">
        <v>40</v>
      </c>
      <c r="S22" s="23">
        <v>22</v>
      </c>
    </row>
    <row r="23" spans="1:19" hidden="1" x14ac:dyDescent="0.15">
      <c r="A23" s="43">
        <v>2</v>
      </c>
      <c r="B23" s="23">
        <v>35</v>
      </c>
      <c r="C23" s="23">
        <v>86</v>
      </c>
      <c r="D23" s="23">
        <v>21</v>
      </c>
      <c r="E23" s="23">
        <v>57</v>
      </c>
      <c r="F23" s="23">
        <v>97</v>
      </c>
      <c r="G23" s="23">
        <v>65</v>
      </c>
      <c r="H23" s="23">
        <v>36</v>
      </c>
      <c r="I23" s="23">
        <v>6</v>
      </c>
      <c r="J23" s="23">
        <v>13</v>
      </c>
      <c r="K23" s="23">
        <v>104</v>
      </c>
      <c r="L23" s="23">
        <v>99</v>
      </c>
      <c r="M23" s="23">
        <v>19</v>
      </c>
      <c r="N23" s="23">
        <v>93</v>
      </c>
      <c r="O23" s="23">
        <v>221</v>
      </c>
      <c r="P23" s="23">
        <v>115</v>
      </c>
      <c r="Q23" s="23">
        <v>50</v>
      </c>
      <c r="R23" s="23">
        <v>23</v>
      </c>
      <c r="S23" s="23">
        <v>287</v>
      </c>
    </row>
    <row r="24" spans="1:19" hidden="1" x14ac:dyDescent="0.15">
      <c r="A24" s="43">
        <v>3</v>
      </c>
      <c r="B24" s="23">
        <v>73</v>
      </c>
      <c r="C24" s="23">
        <v>165</v>
      </c>
      <c r="D24" s="23">
        <v>66</v>
      </c>
      <c r="E24" s="23">
        <v>152</v>
      </c>
      <c r="F24" s="23">
        <v>165</v>
      </c>
      <c r="G24" s="23">
        <v>113</v>
      </c>
      <c r="H24" s="23">
        <v>62</v>
      </c>
      <c r="I24" s="23">
        <v>11</v>
      </c>
      <c r="J24" s="23">
        <v>42</v>
      </c>
      <c r="K24" s="23">
        <v>250</v>
      </c>
      <c r="L24" s="23">
        <v>123</v>
      </c>
      <c r="M24" s="23">
        <v>118</v>
      </c>
      <c r="N24" s="23">
        <v>119</v>
      </c>
      <c r="O24" s="23">
        <v>428</v>
      </c>
      <c r="P24" s="23">
        <v>363</v>
      </c>
      <c r="Q24" s="23">
        <v>189</v>
      </c>
      <c r="R24" s="23">
        <v>24</v>
      </c>
      <c r="S24" s="23">
        <v>406</v>
      </c>
    </row>
    <row r="25" spans="1:19" hidden="1" x14ac:dyDescent="0.15">
      <c r="A25" s="43">
        <v>4</v>
      </c>
      <c r="B25" s="23">
        <v>217</v>
      </c>
      <c r="C25" s="23">
        <v>329</v>
      </c>
      <c r="D25" s="23">
        <v>119</v>
      </c>
      <c r="E25" s="23">
        <v>530</v>
      </c>
      <c r="F25" s="23">
        <v>221</v>
      </c>
      <c r="G25" s="23">
        <v>318</v>
      </c>
      <c r="H25" s="23">
        <v>67</v>
      </c>
      <c r="I25" s="23">
        <v>95</v>
      </c>
      <c r="J25" s="23">
        <v>81</v>
      </c>
      <c r="K25" s="23">
        <v>276</v>
      </c>
      <c r="L25" s="23">
        <v>203</v>
      </c>
      <c r="M25" s="23">
        <v>234</v>
      </c>
      <c r="N25" s="23">
        <v>330</v>
      </c>
      <c r="O25" s="23">
        <v>655</v>
      </c>
      <c r="P25" s="23">
        <v>913</v>
      </c>
      <c r="Q25" s="23">
        <v>564</v>
      </c>
      <c r="R25" s="23">
        <v>61</v>
      </c>
      <c r="S25" s="23">
        <v>807</v>
      </c>
    </row>
    <row r="26" spans="1:19" hidden="1" x14ac:dyDescent="0.15">
      <c r="A26" s="43">
        <v>5</v>
      </c>
      <c r="B26" s="23">
        <v>159</v>
      </c>
      <c r="C26" s="23">
        <v>207</v>
      </c>
      <c r="D26" s="23">
        <v>105</v>
      </c>
      <c r="E26" s="23">
        <v>487</v>
      </c>
      <c r="F26" s="23">
        <v>120</v>
      </c>
      <c r="G26" s="23">
        <v>202</v>
      </c>
      <c r="H26" s="23">
        <v>33</v>
      </c>
      <c r="I26" s="23">
        <v>66</v>
      </c>
      <c r="J26" s="23">
        <v>40</v>
      </c>
      <c r="K26" s="23">
        <v>121</v>
      </c>
      <c r="L26" s="23">
        <v>68</v>
      </c>
      <c r="M26" s="23">
        <v>74</v>
      </c>
      <c r="N26" s="23">
        <v>153</v>
      </c>
      <c r="O26" s="23">
        <v>321</v>
      </c>
      <c r="P26" s="23">
        <v>866</v>
      </c>
      <c r="Q26" s="23">
        <v>388</v>
      </c>
      <c r="R26" s="23">
        <v>17</v>
      </c>
      <c r="S26" s="23">
        <v>506</v>
      </c>
    </row>
    <row r="27" spans="1:19" hidden="1" x14ac:dyDescent="0.15">
      <c r="A27" s="43">
        <v>6</v>
      </c>
      <c r="B27" s="23">
        <v>24</v>
      </c>
      <c r="C27" s="23">
        <v>54</v>
      </c>
      <c r="D27" s="23">
        <v>6</v>
      </c>
      <c r="E27" s="23">
        <v>82</v>
      </c>
      <c r="F27" s="23">
        <v>30</v>
      </c>
      <c r="G27" s="23">
        <v>35</v>
      </c>
      <c r="H27" s="23">
        <v>6</v>
      </c>
      <c r="I27" s="23">
        <v>40</v>
      </c>
      <c r="J27" s="23">
        <v>9</v>
      </c>
      <c r="K27" s="23">
        <v>2</v>
      </c>
      <c r="L27" s="23">
        <v>20</v>
      </c>
      <c r="M27" s="23">
        <v>16</v>
      </c>
      <c r="N27" s="23">
        <v>44</v>
      </c>
      <c r="O27" s="23">
        <v>37</v>
      </c>
      <c r="P27" s="23">
        <v>134</v>
      </c>
      <c r="Q27" s="23">
        <v>73</v>
      </c>
      <c r="R27" s="23">
        <v>2</v>
      </c>
      <c r="S27" s="23">
        <v>51</v>
      </c>
    </row>
    <row r="28" spans="1:19" hidden="1" x14ac:dyDescent="0.15"/>
    <row r="29" spans="1:19" hidden="1" x14ac:dyDescent="0.15"/>
  </sheetData>
  <mergeCells count="7">
    <mergeCell ref="A16:A17"/>
    <mergeCell ref="A4:A5"/>
    <mergeCell ref="A6:A7"/>
    <mergeCell ref="A8:A9"/>
    <mergeCell ref="A10:A11"/>
    <mergeCell ref="A12:A13"/>
    <mergeCell ref="A14:A15"/>
  </mergeCells>
  <phoneticPr fontId="2"/>
  <printOptions horizontalCentered="1"/>
  <pageMargins left="0.70866141732283472" right="0.70866141732283472" top="0.74803149606299213" bottom="0.74803149606299213" header="0.31496062992125984" footer="0.31496062992125984"/>
  <pageSetup paperSize="9" orientation="portrait" r:id="rId1"/>
  <ignoredErrors>
    <ignoredError sqref="B4:J4 B5:I5" formulaRange="1"/>
    <ignoredError sqref="B6:J15 J5" formula="1"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Button 1">
              <controlPr defaultSize="0" print="0" autoFill="0" autoPict="0" macro="[0]!データ削除29">
                <anchor moveWithCells="1" sizeWithCells="1">
                  <from>
                    <xdr:col>15</xdr:col>
                    <xdr:colOff>38100</xdr:colOff>
                    <xdr:row>16</xdr:row>
                    <xdr:rowOff>104775</xdr:rowOff>
                  </from>
                  <to>
                    <xdr:col>18</xdr:col>
                    <xdr:colOff>247650</xdr:colOff>
                    <xdr:row>18</xdr:row>
                    <xdr:rowOff>161925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theme="9" tint="-0.499984740745262"/>
    <pageSetUpPr fitToPage="1"/>
  </sheetPr>
  <dimension ref="A1:AG85"/>
  <sheetViews>
    <sheetView showGridLines="0" topLeftCell="A34" zoomScale="60" zoomScaleNormal="60" zoomScaleSheetLayoutView="100" workbookViewId="0">
      <selection activeCell="L88" sqref="L88"/>
    </sheetView>
  </sheetViews>
  <sheetFormatPr defaultColWidth="7.125" defaultRowHeight="18.75" x14ac:dyDescent="0.15"/>
  <cols>
    <col min="1" max="1" width="33.125" style="1" customWidth="1"/>
    <col min="2" max="10" width="8.75" style="1" customWidth="1"/>
    <col min="11" max="12" width="7.25" style="1" customWidth="1"/>
    <col min="13" max="31" width="7.25" style="1" hidden="1" customWidth="1"/>
    <col min="32" max="33" width="7.125" style="1" hidden="1" customWidth="1"/>
    <col min="34" max="36" width="0" style="1" hidden="1" customWidth="1"/>
    <col min="37" max="16384" width="7.125" style="1"/>
  </cols>
  <sheetData>
    <row r="1" spans="1:31" s="3" customFormat="1" ht="19.5" x14ac:dyDescent="0.15">
      <c r="A1" s="2" t="s">
        <v>447</v>
      </c>
    </row>
    <row r="2" spans="1:31" x14ac:dyDescent="0.15">
      <c r="A2" s="4"/>
    </row>
    <row r="3" spans="1:31" ht="18.75" customHeight="1" x14ac:dyDescent="0.15">
      <c r="A3" s="506" t="s">
        <v>240</v>
      </c>
      <c r="B3" s="506" t="s">
        <v>376</v>
      </c>
      <c r="C3" s="506" t="s">
        <v>377</v>
      </c>
      <c r="D3" s="506" t="s">
        <v>378</v>
      </c>
      <c r="E3" s="506" t="s">
        <v>379</v>
      </c>
      <c r="F3" s="506" t="s">
        <v>380</v>
      </c>
      <c r="G3" s="506" t="s">
        <v>381</v>
      </c>
      <c r="H3" s="506" t="s">
        <v>382</v>
      </c>
      <c r="I3" s="506" t="s">
        <v>383</v>
      </c>
      <c r="J3" s="506" t="s">
        <v>62</v>
      </c>
      <c r="M3" s="34" t="s">
        <v>370</v>
      </c>
      <c r="N3" s="56" t="s">
        <v>384</v>
      </c>
      <c r="O3" s="56" t="s">
        <v>385</v>
      </c>
      <c r="P3" s="56" t="s">
        <v>386</v>
      </c>
      <c r="Q3" s="56" t="s">
        <v>387</v>
      </c>
      <c r="R3" s="56" t="s">
        <v>388</v>
      </c>
      <c r="S3" s="56" t="s">
        <v>389</v>
      </c>
      <c r="T3" s="56" t="s">
        <v>390</v>
      </c>
      <c r="U3" s="56" t="s">
        <v>391</v>
      </c>
      <c r="V3" s="56" t="s">
        <v>392</v>
      </c>
      <c r="W3" s="56" t="s">
        <v>393</v>
      </c>
      <c r="X3" s="56" t="s">
        <v>394</v>
      </c>
      <c r="Y3" s="56" t="s">
        <v>395</v>
      </c>
      <c r="Z3" s="56" t="s">
        <v>396</v>
      </c>
      <c r="AA3" s="56" t="s">
        <v>397</v>
      </c>
      <c r="AB3" s="56" t="s">
        <v>398</v>
      </c>
      <c r="AC3" s="56" t="s">
        <v>399</v>
      </c>
      <c r="AD3" s="56" t="s">
        <v>400</v>
      </c>
      <c r="AE3" s="56" t="s">
        <v>401</v>
      </c>
    </row>
    <row r="4" spans="1:31" s="22" customFormat="1" ht="18.75" customHeight="1" x14ac:dyDescent="0.15">
      <c r="A4" s="736" t="s">
        <v>448</v>
      </c>
      <c r="B4" s="508">
        <f>SUM(N4:P4)</f>
        <v>274</v>
      </c>
      <c r="C4" s="508">
        <f>SUM(Q4:R4)</f>
        <v>213</v>
      </c>
      <c r="D4" s="508">
        <f>SUM(S4:V4)</f>
        <v>335</v>
      </c>
      <c r="E4" s="508">
        <f>SUM(W4:X4)</f>
        <v>288</v>
      </c>
      <c r="F4" s="508">
        <f>SUM(Y4:Z4)</f>
        <v>185</v>
      </c>
      <c r="G4" s="508">
        <f>SUM(AA4:AC4)</f>
        <v>536</v>
      </c>
      <c r="H4" s="508">
        <f>AD4</f>
        <v>19</v>
      </c>
      <c r="I4" s="508">
        <f>AE4</f>
        <v>337</v>
      </c>
      <c r="J4" s="508">
        <f>SUM(B4:I4)</f>
        <v>2187</v>
      </c>
      <c r="M4" s="406">
        <v>97</v>
      </c>
      <c r="N4" s="1">
        <v>119</v>
      </c>
      <c r="O4" s="1">
        <v>96</v>
      </c>
      <c r="P4" s="1">
        <v>59</v>
      </c>
      <c r="Q4" s="1">
        <v>73</v>
      </c>
      <c r="R4" s="1">
        <v>140</v>
      </c>
      <c r="S4" s="1">
        <v>231</v>
      </c>
      <c r="T4" s="1">
        <v>52</v>
      </c>
      <c r="U4" s="1">
        <v>31</v>
      </c>
      <c r="V4" s="1">
        <v>21</v>
      </c>
      <c r="W4" s="1">
        <v>169</v>
      </c>
      <c r="X4" s="1">
        <v>119</v>
      </c>
      <c r="Y4" s="1">
        <v>67</v>
      </c>
      <c r="Z4" s="1">
        <v>118</v>
      </c>
      <c r="AA4" s="1">
        <v>236</v>
      </c>
      <c r="AB4" s="1">
        <v>207</v>
      </c>
      <c r="AC4" s="1">
        <v>93</v>
      </c>
      <c r="AD4" s="1">
        <v>19</v>
      </c>
      <c r="AE4" s="1">
        <v>337</v>
      </c>
    </row>
    <row r="5" spans="1:31" s="22" customFormat="1" ht="18.75" customHeight="1" x14ac:dyDescent="0.15">
      <c r="A5" s="737"/>
      <c r="B5" s="533">
        <f t="shared" ref="B5:J5" si="0">B4/B$10</f>
        <v>0.16004672897196262</v>
      </c>
      <c r="C5" s="533">
        <f t="shared" si="0"/>
        <v>0.10779352226720648</v>
      </c>
      <c r="D5" s="533">
        <f t="shared" si="0"/>
        <v>0.24381368267831149</v>
      </c>
      <c r="E5" s="533">
        <f t="shared" si="0"/>
        <v>0.21867881548974943</v>
      </c>
      <c r="F5" s="533">
        <f t="shared" si="0"/>
        <v>0.14991896272285252</v>
      </c>
      <c r="G5" s="533">
        <f t="shared" si="0"/>
        <v>9.9369670003707819E-2</v>
      </c>
      <c r="H5" s="533">
        <f t="shared" si="0"/>
        <v>0.11377245508982035</v>
      </c>
      <c r="I5" s="533">
        <f t="shared" si="0"/>
        <v>0.1620971620971621</v>
      </c>
      <c r="J5" s="512">
        <f t="shared" si="0"/>
        <v>0.14338162984330952</v>
      </c>
      <c r="M5" s="406">
        <v>98</v>
      </c>
      <c r="N5" s="1">
        <v>346</v>
      </c>
      <c r="O5" s="1">
        <v>645</v>
      </c>
      <c r="P5" s="1">
        <v>232</v>
      </c>
      <c r="Q5" s="1">
        <v>1163</v>
      </c>
      <c r="R5" s="1">
        <v>403</v>
      </c>
      <c r="S5" s="1">
        <v>451</v>
      </c>
      <c r="T5" s="1">
        <v>97</v>
      </c>
      <c r="U5" s="1">
        <v>165</v>
      </c>
      <c r="V5" s="1">
        <v>138</v>
      </c>
      <c r="W5" s="1">
        <v>492</v>
      </c>
      <c r="X5" s="1">
        <v>334</v>
      </c>
      <c r="Y5" s="1">
        <v>312</v>
      </c>
      <c r="Z5" s="1">
        <v>574</v>
      </c>
      <c r="AA5" s="1">
        <v>1292</v>
      </c>
      <c r="AB5" s="1">
        <v>2094</v>
      </c>
      <c r="AC5" s="1">
        <v>1103</v>
      </c>
      <c r="AD5" s="1">
        <v>89</v>
      </c>
      <c r="AE5" s="1">
        <v>1391</v>
      </c>
    </row>
    <row r="6" spans="1:31" s="22" customFormat="1" ht="18.75" customHeight="1" x14ac:dyDescent="0.15">
      <c r="A6" s="736" t="s">
        <v>343</v>
      </c>
      <c r="B6" s="508">
        <f>SUM(N5:P5)</f>
        <v>1223</v>
      </c>
      <c r="C6" s="508">
        <f>SUM(Q5:R5)</f>
        <v>1566</v>
      </c>
      <c r="D6" s="508">
        <f>SUM(S5:V5)</f>
        <v>851</v>
      </c>
      <c r="E6" s="508">
        <f>SUM(W5:X5)</f>
        <v>826</v>
      </c>
      <c r="F6" s="508">
        <f>SUM(Y5:Z5)</f>
        <v>886</v>
      </c>
      <c r="G6" s="508">
        <f>SUM(AA5:AC5)</f>
        <v>4489</v>
      </c>
      <c r="H6" s="508">
        <f>AD5</f>
        <v>89</v>
      </c>
      <c r="I6" s="508">
        <f>AE5</f>
        <v>1391</v>
      </c>
      <c r="J6" s="508">
        <f>SUM(B6:I6)</f>
        <v>11321</v>
      </c>
      <c r="M6" s="406">
        <v>99</v>
      </c>
      <c r="N6" s="1">
        <v>45</v>
      </c>
      <c r="O6" s="1">
        <v>139</v>
      </c>
      <c r="P6" s="1">
        <v>31</v>
      </c>
      <c r="Q6" s="1">
        <v>89</v>
      </c>
      <c r="R6" s="1">
        <v>108</v>
      </c>
      <c r="S6" s="1">
        <v>57</v>
      </c>
      <c r="T6" s="1">
        <v>78</v>
      </c>
      <c r="U6" s="1">
        <v>24</v>
      </c>
      <c r="V6" s="1">
        <v>29</v>
      </c>
      <c r="W6" s="1">
        <v>108</v>
      </c>
      <c r="X6" s="1">
        <v>95</v>
      </c>
      <c r="Y6" s="1">
        <v>88</v>
      </c>
      <c r="Z6" s="1">
        <v>75</v>
      </c>
      <c r="AA6" s="1">
        <v>165</v>
      </c>
      <c r="AB6" s="1">
        <v>128</v>
      </c>
      <c r="AC6" s="1">
        <v>76</v>
      </c>
      <c r="AD6" s="1">
        <v>59</v>
      </c>
      <c r="AE6" s="1">
        <v>351</v>
      </c>
    </row>
    <row r="7" spans="1:31" s="22" customFormat="1" ht="18.75" customHeight="1" x14ac:dyDescent="0.15">
      <c r="A7" s="737"/>
      <c r="B7" s="533">
        <f t="shared" ref="B7:J7" si="1">B6/B$10</f>
        <v>0.71436915887850472</v>
      </c>
      <c r="C7" s="533">
        <f t="shared" si="1"/>
        <v>0.79251012145748989</v>
      </c>
      <c r="D7" s="533">
        <f t="shared" si="1"/>
        <v>0.61935953420669576</v>
      </c>
      <c r="E7" s="533">
        <f t="shared" si="1"/>
        <v>0.6271829916476841</v>
      </c>
      <c r="F7" s="533">
        <f t="shared" si="1"/>
        <v>0.71799027552674233</v>
      </c>
      <c r="G7" s="533">
        <f t="shared" si="1"/>
        <v>0.83222098628105301</v>
      </c>
      <c r="H7" s="533">
        <f t="shared" si="1"/>
        <v>0.53293413173652693</v>
      </c>
      <c r="I7" s="533">
        <f t="shared" si="1"/>
        <v>0.66907166907166904</v>
      </c>
      <c r="J7" s="533">
        <f t="shared" si="1"/>
        <v>0.74221464629908873</v>
      </c>
      <c r="M7" s="406"/>
    </row>
    <row r="8" spans="1:31" s="22" customFormat="1" ht="18.75" customHeight="1" x14ac:dyDescent="0.15">
      <c r="A8" s="738" t="s">
        <v>36</v>
      </c>
      <c r="B8" s="508">
        <f>SUM(N6:P6)</f>
        <v>215</v>
      </c>
      <c r="C8" s="508">
        <f>SUM(Q6:R6)</f>
        <v>197</v>
      </c>
      <c r="D8" s="508">
        <f>SUM(S6:V6)</f>
        <v>188</v>
      </c>
      <c r="E8" s="508">
        <f>SUM(W6:X6)</f>
        <v>203</v>
      </c>
      <c r="F8" s="508">
        <f>SUM(Y6:Z6)</f>
        <v>163</v>
      </c>
      <c r="G8" s="508">
        <f>SUM(AA6:AC6)</f>
        <v>369</v>
      </c>
      <c r="H8" s="508">
        <f>AD6</f>
        <v>59</v>
      </c>
      <c r="I8" s="508">
        <f>AE6</f>
        <v>351</v>
      </c>
      <c r="J8" s="508">
        <f>SUM(B8:I8)</f>
        <v>1745</v>
      </c>
    </row>
    <row r="9" spans="1:31" s="22" customFormat="1" ht="18.75" customHeight="1" x14ac:dyDescent="0.15">
      <c r="A9" s="739"/>
      <c r="B9" s="533">
        <f>B8/B$10</f>
        <v>0.12558411214953272</v>
      </c>
      <c r="C9" s="533">
        <f t="shared" ref="C9:J9" si="2">C8/C$10</f>
        <v>9.9696356275303641E-2</v>
      </c>
      <c r="D9" s="533">
        <f t="shared" si="2"/>
        <v>0.13682678311499272</v>
      </c>
      <c r="E9" s="533">
        <f t="shared" si="2"/>
        <v>0.15413819286256644</v>
      </c>
      <c r="F9" s="533">
        <f t="shared" si="2"/>
        <v>0.13209076175040518</v>
      </c>
      <c r="G9" s="533">
        <f t="shared" si="2"/>
        <v>6.8409343715239157E-2</v>
      </c>
      <c r="H9" s="533">
        <f t="shared" si="2"/>
        <v>0.3532934131736527</v>
      </c>
      <c r="I9" s="533">
        <f t="shared" si="2"/>
        <v>0.16883116883116883</v>
      </c>
      <c r="J9" s="533">
        <f t="shared" si="2"/>
        <v>0.11440372385760178</v>
      </c>
    </row>
    <row r="10" spans="1:31" s="22" customFormat="1" ht="18.75" customHeight="1" x14ac:dyDescent="0.15">
      <c r="A10" s="724" t="s">
        <v>161</v>
      </c>
      <c r="B10" s="620">
        <f>SUM(B4,B6,B8)</f>
        <v>1712</v>
      </c>
      <c r="C10" s="620">
        <f t="shared" ref="C10:J11" si="3">SUM(C4,C6,C8)</f>
        <v>1976</v>
      </c>
      <c r="D10" s="620">
        <f t="shared" si="3"/>
        <v>1374</v>
      </c>
      <c r="E10" s="620">
        <f t="shared" si="3"/>
        <v>1317</v>
      </c>
      <c r="F10" s="620">
        <f t="shared" si="3"/>
        <v>1234</v>
      </c>
      <c r="G10" s="620">
        <f t="shared" si="3"/>
        <v>5394</v>
      </c>
      <c r="H10" s="620">
        <f t="shared" si="3"/>
        <v>167</v>
      </c>
      <c r="I10" s="620">
        <f t="shared" si="3"/>
        <v>2079</v>
      </c>
      <c r="J10" s="620">
        <f>SUM(J4,J6,J8)</f>
        <v>15253</v>
      </c>
    </row>
    <row r="11" spans="1:31" s="22" customFormat="1" ht="18.75" customHeight="1" x14ac:dyDescent="0.15">
      <c r="A11" s="722"/>
      <c r="B11" s="622">
        <f>SUM(B5,B7,B9)</f>
        <v>1</v>
      </c>
      <c r="C11" s="622">
        <f t="shared" si="3"/>
        <v>1</v>
      </c>
      <c r="D11" s="622">
        <f t="shared" si="3"/>
        <v>1</v>
      </c>
      <c r="E11" s="622">
        <f t="shared" si="3"/>
        <v>1</v>
      </c>
      <c r="F11" s="622">
        <f t="shared" si="3"/>
        <v>1</v>
      </c>
      <c r="G11" s="622">
        <f t="shared" si="3"/>
        <v>1</v>
      </c>
      <c r="H11" s="622">
        <f t="shared" si="3"/>
        <v>1</v>
      </c>
      <c r="I11" s="622">
        <f t="shared" si="3"/>
        <v>1</v>
      </c>
      <c r="J11" s="622">
        <f t="shared" si="3"/>
        <v>1</v>
      </c>
    </row>
    <row r="12" spans="1:31" ht="18.75" customHeight="1" x14ac:dyDescent="0.15">
      <c r="A12" s="4"/>
    </row>
    <row r="13" spans="1:31" ht="18.75" customHeight="1" x14ac:dyDescent="0.15">
      <c r="A13" s="506" t="s">
        <v>346</v>
      </c>
      <c r="B13" s="506" t="s">
        <v>376</v>
      </c>
      <c r="C13" s="506" t="s">
        <v>377</v>
      </c>
      <c r="D13" s="506" t="s">
        <v>378</v>
      </c>
      <c r="E13" s="506" t="s">
        <v>379</v>
      </c>
      <c r="F13" s="506" t="s">
        <v>380</v>
      </c>
      <c r="G13" s="506" t="s">
        <v>381</v>
      </c>
      <c r="H13" s="506" t="s">
        <v>382</v>
      </c>
      <c r="I13" s="506" t="s">
        <v>383</v>
      </c>
      <c r="J13" s="506" t="s">
        <v>62</v>
      </c>
      <c r="M13" s="34" t="s">
        <v>370</v>
      </c>
      <c r="N13" s="56" t="s">
        <v>384</v>
      </c>
      <c r="O13" s="56" t="s">
        <v>385</v>
      </c>
      <c r="P13" s="56" t="s">
        <v>386</v>
      </c>
      <c r="Q13" s="56" t="s">
        <v>387</v>
      </c>
      <c r="R13" s="56" t="s">
        <v>388</v>
      </c>
      <c r="S13" s="56" t="s">
        <v>389</v>
      </c>
      <c r="T13" s="56" t="s">
        <v>390</v>
      </c>
      <c r="U13" s="56" t="s">
        <v>391</v>
      </c>
      <c r="V13" s="56" t="s">
        <v>392</v>
      </c>
      <c r="W13" s="56" t="s">
        <v>393</v>
      </c>
      <c r="X13" s="56" t="s">
        <v>394</v>
      </c>
      <c r="Y13" s="56" t="s">
        <v>395</v>
      </c>
      <c r="Z13" s="56" t="s">
        <v>396</v>
      </c>
      <c r="AA13" s="56" t="s">
        <v>397</v>
      </c>
      <c r="AB13" s="56" t="s">
        <v>398</v>
      </c>
      <c r="AC13" s="56" t="s">
        <v>399</v>
      </c>
      <c r="AD13" s="56" t="s">
        <v>400</v>
      </c>
      <c r="AE13" s="56" t="s">
        <v>401</v>
      </c>
    </row>
    <row r="14" spans="1:31" s="22" customFormat="1" ht="18.75" customHeight="1" x14ac:dyDescent="0.15">
      <c r="A14" s="734" t="s">
        <v>34</v>
      </c>
      <c r="B14" s="508">
        <f>SUM(N14:P14)</f>
        <v>259</v>
      </c>
      <c r="C14" s="508">
        <f>SUM(Q14:R14)</f>
        <v>202</v>
      </c>
      <c r="D14" s="508">
        <f>SUM(S14:V14)</f>
        <v>307</v>
      </c>
      <c r="E14" s="508">
        <f>SUM(W14:X14)</f>
        <v>252</v>
      </c>
      <c r="F14" s="508">
        <f>SUM(Y14:Z14)</f>
        <v>161</v>
      </c>
      <c r="G14" s="508">
        <f>SUM(AA14:AC14)</f>
        <v>500</v>
      </c>
      <c r="H14" s="508">
        <f>AD14</f>
        <v>8</v>
      </c>
      <c r="I14" s="508">
        <f>AE14</f>
        <v>280</v>
      </c>
      <c r="J14" s="508">
        <f>SUM(B14:I14)</f>
        <v>1969</v>
      </c>
      <c r="M14" s="406">
        <v>91</v>
      </c>
      <c r="N14" s="1">
        <v>119</v>
      </c>
      <c r="O14" s="1">
        <v>81</v>
      </c>
      <c r="P14" s="1">
        <v>59</v>
      </c>
      <c r="Q14" s="1">
        <v>66</v>
      </c>
      <c r="R14" s="1">
        <v>136</v>
      </c>
      <c r="S14" s="1">
        <v>206</v>
      </c>
      <c r="T14" s="1">
        <v>51</v>
      </c>
      <c r="U14" s="1">
        <v>29</v>
      </c>
      <c r="V14" s="1">
        <v>21</v>
      </c>
      <c r="W14" s="1">
        <v>152</v>
      </c>
      <c r="X14" s="1">
        <v>100</v>
      </c>
      <c r="Y14" s="1">
        <v>66</v>
      </c>
      <c r="Z14" s="1">
        <v>95</v>
      </c>
      <c r="AA14" s="1">
        <v>229</v>
      </c>
      <c r="AB14" s="1">
        <v>192</v>
      </c>
      <c r="AC14" s="1">
        <v>79</v>
      </c>
      <c r="AD14" s="1">
        <v>8</v>
      </c>
      <c r="AE14" s="1">
        <v>280</v>
      </c>
    </row>
    <row r="15" spans="1:31" s="22" customFormat="1" ht="18.75" customHeight="1" x14ac:dyDescent="0.15">
      <c r="A15" s="735"/>
      <c r="B15" s="533">
        <f>B14/B$18</f>
        <v>0.94525547445255476</v>
      </c>
      <c r="C15" s="533">
        <f t="shared" ref="C15:J15" si="4">C14/C$18</f>
        <v>0.94835680751173712</v>
      </c>
      <c r="D15" s="533">
        <f t="shared" si="4"/>
        <v>0.91641791044776122</v>
      </c>
      <c r="E15" s="533">
        <f t="shared" si="4"/>
        <v>0.875</v>
      </c>
      <c r="F15" s="533">
        <f t="shared" si="4"/>
        <v>0.87027027027027026</v>
      </c>
      <c r="G15" s="533">
        <f t="shared" si="4"/>
        <v>0.93283582089552242</v>
      </c>
      <c r="H15" s="533">
        <f t="shared" si="4"/>
        <v>0.42105263157894735</v>
      </c>
      <c r="I15" s="533">
        <f t="shared" si="4"/>
        <v>0.83086053412462912</v>
      </c>
      <c r="J15" s="533">
        <f t="shared" si="4"/>
        <v>0.90032007315957929</v>
      </c>
      <c r="M15" s="406">
        <v>90</v>
      </c>
      <c r="N15" s="1"/>
      <c r="O15" s="1">
        <v>15</v>
      </c>
      <c r="P15" s="1"/>
      <c r="Q15" s="1">
        <v>7</v>
      </c>
      <c r="R15" s="1">
        <v>4</v>
      </c>
      <c r="S15" s="1">
        <v>25</v>
      </c>
      <c r="T15" s="1">
        <v>1</v>
      </c>
      <c r="U15" s="1">
        <v>2</v>
      </c>
      <c r="V15" s="1"/>
      <c r="W15" s="1">
        <v>17</v>
      </c>
      <c r="X15" s="1">
        <v>19</v>
      </c>
      <c r="Y15" s="1">
        <v>1</v>
      </c>
      <c r="Z15" s="1">
        <v>23</v>
      </c>
      <c r="AA15" s="1">
        <v>7</v>
      </c>
      <c r="AB15" s="1">
        <v>15</v>
      </c>
      <c r="AC15" s="1">
        <v>14</v>
      </c>
      <c r="AD15" s="1">
        <v>11</v>
      </c>
      <c r="AE15" s="1">
        <v>57</v>
      </c>
    </row>
    <row r="16" spans="1:31" s="22" customFormat="1" ht="18.75" customHeight="1" x14ac:dyDescent="0.15">
      <c r="A16" s="734" t="s">
        <v>449</v>
      </c>
      <c r="B16" s="508">
        <f>SUM(N15:P15)</f>
        <v>15</v>
      </c>
      <c r="C16" s="508">
        <f>SUM(Q15:R15)</f>
        <v>11</v>
      </c>
      <c r="D16" s="508">
        <f>SUM(S15:V15)</f>
        <v>28</v>
      </c>
      <c r="E16" s="508">
        <f>SUM(W15:X15)</f>
        <v>36</v>
      </c>
      <c r="F16" s="508">
        <f>SUM(Y15:Z15)</f>
        <v>24</v>
      </c>
      <c r="G16" s="508">
        <f>SUM(AA15:AC15)</f>
        <v>36</v>
      </c>
      <c r="H16" s="508">
        <f>AD15</f>
        <v>11</v>
      </c>
      <c r="I16" s="508">
        <f>AE15</f>
        <v>57</v>
      </c>
      <c r="J16" s="508">
        <f>SUM(B16:I16)</f>
        <v>218</v>
      </c>
      <c r="M16" s="406"/>
      <c r="N16" s="1"/>
      <c r="O16" s="1"/>
      <c r="P16" s="1"/>
      <c r="Q16" s="1"/>
      <c r="R16" s="1"/>
      <c r="S16" s="1"/>
      <c r="T16" s="1"/>
      <c r="U16" s="1"/>
      <c r="V16" s="1"/>
      <c r="W16" s="1"/>
      <c r="X16" s="1"/>
      <c r="Y16" s="1"/>
      <c r="Z16" s="1"/>
      <c r="AA16" s="1"/>
      <c r="AB16" s="1"/>
      <c r="AC16" s="1"/>
      <c r="AD16" s="1"/>
      <c r="AE16" s="1"/>
    </row>
    <row r="17" spans="1:13" s="22" customFormat="1" ht="18.75" customHeight="1" x14ac:dyDescent="0.15">
      <c r="A17" s="735"/>
      <c r="B17" s="533">
        <f>B16/B$18</f>
        <v>5.4744525547445258E-2</v>
      </c>
      <c r="C17" s="533">
        <f t="shared" ref="C17:J17" si="5">C16/C$18</f>
        <v>5.1643192488262914E-2</v>
      </c>
      <c r="D17" s="533">
        <f t="shared" si="5"/>
        <v>8.3582089552238809E-2</v>
      </c>
      <c r="E17" s="533">
        <f t="shared" si="5"/>
        <v>0.125</v>
      </c>
      <c r="F17" s="533">
        <f t="shared" si="5"/>
        <v>0.12972972972972974</v>
      </c>
      <c r="G17" s="533">
        <f t="shared" si="5"/>
        <v>6.7164179104477612E-2</v>
      </c>
      <c r="H17" s="533">
        <f t="shared" si="5"/>
        <v>0.57894736842105265</v>
      </c>
      <c r="I17" s="533">
        <f t="shared" si="5"/>
        <v>0.16913946587537093</v>
      </c>
      <c r="J17" s="533">
        <f t="shared" si="5"/>
        <v>9.9679926840420666E-2</v>
      </c>
      <c r="M17" s="406"/>
    </row>
    <row r="18" spans="1:13" s="22" customFormat="1" ht="18.75" customHeight="1" x14ac:dyDescent="0.15">
      <c r="A18" s="724" t="s">
        <v>161</v>
      </c>
      <c r="B18" s="620">
        <f>SUM(B14,B16)</f>
        <v>274</v>
      </c>
      <c r="C18" s="620">
        <f t="shared" ref="C18:J19" si="6">SUM(C14,C16)</f>
        <v>213</v>
      </c>
      <c r="D18" s="620">
        <f t="shared" si="6"/>
        <v>335</v>
      </c>
      <c r="E18" s="620">
        <f t="shared" si="6"/>
        <v>288</v>
      </c>
      <c r="F18" s="620">
        <f t="shared" si="6"/>
        <v>185</v>
      </c>
      <c r="G18" s="620">
        <f t="shared" si="6"/>
        <v>536</v>
      </c>
      <c r="H18" s="620">
        <f t="shared" si="6"/>
        <v>19</v>
      </c>
      <c r="I18" s="620">
        <f t="shared" si="6"/>
        <v>337</v>
      </c>
      <c r="J18" s="620">
        <f t="shared" si="6"/>
        <v>2187</v>
      </c>
    </row>
    <row r="19" spans="1:13" s="22" customFormat="1" ht="18.75" customHeight="1" x14ac:dyDescent="0.15">
      <c r="A19" s="722"/>
      <c r="B19" s="622">
        <f>SUM(B15,B17)</f>
        <v>1</v>
      </c>
      <c r="C19" s="622">
        <f t="shared" si="6"/>
        <v>1</v>
      </c>
      <c r="D19" s="622">
        <f t="shared" si="6"/>
        <v>1</v>
      </c>
      <c r="E19" s="622">
        <f t="shared" si="6"/>
        <v>1</v>
      </c>
      <c r="F19" s="622">
        <f t="shared" si="6"/>
        <v>1</v>
      </c>
      <c r="G19" s="622">
        <f t="shared" si="6"/>
        <v>1</v>
      </c>
      <c r="H19" s="622">
        <f t="shared" si="6"/>
        <v>1</v>
      </c>
      <c r="I19" s="622">
        <f t="shared" si="6"/>
        <v>1</v>
      </c>
      <c r="J19" s="622">
        <f t="shared" si="6"/>
        <v>1</v>
      </c>
    </row>
    <row r="20" spans="1:13" s="59" customFormat="1" ht="18.75" customHeight="1" x14ac:dyDescent="0.15">
      <c r="A20" s="58"/>
      <c r="B20" s="534"/>
      <c r="C20" s="534"/>
      <c r="D20" s="534"/>
      <c r="E20" s="534"/>
      <c r="F20" s="534"/>
      <c r="G20" s="534"/>
      <c r="H20" s="534"/>
      <c r="I20" s="534"/>
      <c r="J20" s="534"/>
    </row>
    <row r="21" spans="1:13" s="3" customFormat="1" ht="18.75" customHeight="1" x14ac:dyDescent="0.15">
      <c r="A21" s="2" t="s">
        <v>450</v>
      </c>
    </row>
    <row r="22" spans="1:13" ht="18.75" customHeight="1" x14ac:dyDescent="0.15">
      <c r="A22" s="4"/>
    </row>
    <row r="23" spans="1:13" ht="18.75" customHeight="1" x14ac:dyDescent="0.15">
      <c r="A23" s="506"/>
      <c r="B23" s="506" t="s">
        <v>376</v>
      </c>
      <c r="C23" s="506" t="s">
        <v>377</v>
      </c>
      <c r="D23" s="506" t="s">
        <v>378</v>
      </c>
      <c r="E23" s="506" t="s">
        <v>379</v>
      </c>
      <c r="F23" s="506" t="s">
        <v>380</v>
      </c>
      <c r="G23" s="506" t="s">
        <v>381</v>
      </c>
      <c r="H23" s="506" t="s">
        <v>382</v>
      </c>
      <c r="I23" s="506" t="s">
        <v>383</v>
      </c>
      <c r="J23" s="506" t="s">
        <v>62</v>
      </c>
    </row>
    <row r="24" spans="1:13" ht="18.75" customHeight="1" x14ac:dyDescent="0.15">
      <c r="A24" s="732" t="s">
        <v>235</v>
      </c>
      <c r="B24" s="507">
        <f>SUM(B64:D64)</f>
        <v>86</v>
      </c>
      <c r="C24" s="507">
        <f>SUM(E64:F64)</f>
        <v>65</v>
      </c>
      <c r="D24" s="507">
        <f>SUM(G64:J64)</f>
        <v>120</v>
      </c>
      <c r="E24" s="507">
        <f>SUM(K64:L64)</f>
        <v>119</v>
      </c>
      <c r="F24" s="507">
        <f>SUM(M64:N64)</f>
        <v>68</v>
      </c>
      <c r="G24" s="507">
        <f>SUM(O64:Q64)</f>
        <v>169</v>
      </c>
      <c r="H24" s="507">
        <f>R64</f>
        <v>0</v>
      </c>
      <c r="I24" s="507">
        <f>S64</f>
        <v>105</v>
      </c>
      <c r="J24" s="508">
        <f>SUM(B24:I24)</f>
        <v>732</v>
      </c>
    </row>
    <row r="25" spans="1:13" ht="18.75" customHeight="1" x14ac:dyDescent="0.15">
      <c r="A25" s="733"/>
      <c r="B25" s="533">
        <f>B24/B$14</f>
        <v>0.33204633204633205</v>
      </c>
      <c r="C25" s="533">
        <f t="shared" ref="C25:J25" si="7">C24/C$14</f>
        <v>0.32178217821782179</v>
      </c>
      <c r="D25" s="533">
        <f t="shared" si="7"/>
        <v>0.39087947882736157</v>
      </c>
      <c r="E25" s="533">
        <f t="shared" si="7"/>
        <v>0.47222222222222221</v>
      </c>
      <c r="F25" s="533">
        <f t="shared" si="7"/>
        <v>0.42236024844720499</v>
      </c>
      <c r="G25" s="533">
        <f t="shared" si="7"/>
        <v>0.33800000000000002</v>
      </c>
      <c r="H25" s="533">
        <f t="shared" si="7"/>
        <v>0</v>
      </c>
      <c r="I25" s="533">
        <f t="shared" si="7"/>
        <v>0.375</v>
      </c>
      <c r="J25" s="533">
        <f t="shared" si="7"/>
        <v>0.37176231589639414</v>
      </c>
    </row>
    <row r="26" spans="1:13" ht="18.75" customHeight="1" x14ac:dyDescent="0.15">
      <c r="A26" s="730" t="s">
        <v>66</v>
      </c>
      <c r="B26" s="507">
        <f>SUM(B65:D65)</f>
        <v>78</v>
      </c>
      <c r="C26" s="507">
        <f>SUM(E65:F65)</f>
        <v>74</v>
      </c>
      <c r="D26" s="507">
        <f>SUM(G65:J65)</f>
        <v>77</v>
      </c>
      <c r="E26" s="507">
        <f>SUM(K65:L65)</f>
        <v>88</v>
      </c>
      <c r="F26" s="507">
        <f>SUM(M65:N65)</f>
        <v>60</v>
      </c>
      <c r="G26" s="507">
        <f>SUM(O65:Q65)</f>
        <v>119</v>
      </c>
      <c r="H26" s="507">
        <f>R65</f>
        <v>1</v>
      </c>
      <c r="I26" s="507">
        <f>S65</f>
        <v>75</v>
      </c>
      <c r="J26" s="508">
        <f t="shared" ref="J26" si="8">SUM(B26:I26)</f>
        <v>572</v>
      </c>
    </row>
    <row r="27" spans="1:13" ht="18.75" customHeight="1" x14ac:dyDescent="0.15">
      <c r="A27" s="731"/>
      <c r="B27" s="533">
        <f>B26/B$14</f>
        <v>0.30115830115830117</v>
      </c>
      <c r="C27" s="533">
        <f t="shared" ref="C27:J27" si="9">C26/C$14</f>
        <v>0.36633663366336633</v>
      </c>
      <c r="D27" s="533">
        <f t="shared" si="9"/>
        <v>0.250814332247557</v>
      </c>
      <c r="E27" s="533">
        <f t="shared" si="9"/>
        <v>0.34920634920634919</v>
      </c>
      <c r="F27" s="533">
        <f t="shared" si="9"/>
        <v>0.37267080745341613</v>
      </c>
      <c r="G27" s="533">
        <f t="shared" si="9"/>
        <v>0.23799999999999999</v>
      </c>
      <c r="H27" s="533">
        <f t="shared" si="9"/>
        <v>0.125</v>
      </c>
      <c r="I27" s="533">
        <f t="shared" si="9"/>
        <v>0.26785714285714285</v>
      </c>
      <c r="J27" s="533">
        <f t="shared" si="9"/>
        <v>0.29050279329608941</v>
      </c>
    </row>
    <row r="28" spans="1:13" ht="18.75" customHeight="1" x14ac:dyDescent="0.15">
      <c r="A28" s="730" t="s">
        <v>451</v>
      </c>
      <c r="B28" s="507">
        <f>SUM(B66:D66)</f>
        <v>16</v>
      </c>
      <c r="C28" s="507">
        <f>SUM(E66:F66)</f>
        <v>7</v>
      </c>
      <c r="D28" s="507">
        <f>SUM(G66:J66)</f>
        <v>18</v>
      </c>
      <c r="E28" s="507">
        <f>SUM(K66:L66)</f>
        <v>14</v>
      </c>
      <c r="F28" s="507">
        <f>SUM(M66:N66)</f>
        <v>14</v>
      </c>
      <c r="G28" s="507">
        <f>SUM(O66:Q66)</f>
        <v>33</v>
      </c>
      <c r="H28" s="507">
        <f>R66</f>
        <v>1</v>
      </c>
      <c r="I28" s="507">
        <f>S66</f>
        <v>14</v>
      </c>
      <c r="J28" s="508">
        <f t="shared" ref="J28" si="10">SUM(B28:I28)</f>
        <v>117</v>
      </c>
    </row>
    <row r="29" spans="1:13" ht="18.75" customHeight="1" x14ac:dyDescent="0.15">
      <c r="A29" s="731"/>
      <c r="B29" s="533">
        <f>B28/B$14</f>
        <v>6.1776061776061778E-2</v>
      </c>
      <c r="C29" s="533">
        <f t="shared" ref="C29:J29" si="11">C28/C$14</f>
        <v>3.4653465346534656E-2</v>
      </c>
      <c r="D29" s="533">
        <f t="shared" si="11"/>
        <v>5.8631921824104233E-2</v>
      </c>
      <c r="E29" s="533">
        <f t="shared" si="11"/>
        <v>5.5555555555555552E-2</v>
      </c>
      <c r="F29" s="533">
        <f t="shared" si="11"/>
        <v>8.6956521739130432E-2</v>
      </c>
      <c r="G29" s="533">
        <f t="shared" si="11"/>
        <v>6.6000000000000003E-2</v>
      </c>
      <c r="H29" s="533">
        <f t="shared" si="11"/>
        <v>0.125</v>
      </c>
      <c r="I29" s="533">
        <f t="shared" si="11"/>
        <v>0.05</v>
      </c>
      <c r="J29" s="533">
        <f t="shared" si="11"/>
        <v>5.9421025901472829E-2</v>
      </c>
    </row>
    <row r="30" spans="1:13" ht="18.75" customHeight="1" x14ac:dyDescent="0.15">
      <c r="A30" s="730" t="s">
        <v>452</v>
      </c>
      <c r="B30" s="507">
        <f>SUM(B67:D67)</f>
        <v>65</v>
      </c>
      <c r="C30" s="507">
        <f>SUM(E67:F67)</f>
        <v>93</v>
      </c>
      <c r="D30" s="507">
        <f>SUM(G67:J67)</f>
        <v>112</v>
      </c>
      <c r="E30" s="507">
        <f>SUM(K67:L67)</f>
        <v>95</v>
      </c>
      <c r="F30" s="507">
        <f>SUM(M67:N67)</f>
        <v>67</v>
      </c>
      <c r="G30" s="507">
        <f>SUM(O67:Q67)</f>
        <v>189</v>
      </c>
      <c r="H30" s="507">
        <f>R67</f>
        <v>0</v>
      </c>
      <c r="I30" s="507">
        <f>S67</f>
        <v>106</v>
      </c>
      <c r="J30" s="508">
        <f t="shared" ref="J30" si="12">SUM(B30:I30)</f>
        <v>727</v>
      </c>
    </row>
    <row r="31" spans="1:13" ht="18.75" customHeight="1" x14ac:dyDescent="0.15">
      <c r="A31" s="731"/>
      <c r="B31" s="533">
        <f>B30/B$14</f>
        <v>0.25096525096525096</v>
      </c>
      <c r="C31" s="533">
        <f t="shared" ref="C31:J31" si="13">C30/C$14</f>
        <v>0.46039603960396042</v>
      </c>
      <c r="D31" s="533">
        <f t="shared" si="13"/>
        <v>0.36482084690553745</v>
      </c>
      <c r="E31" s="533">
        <f t="shared" si="13"/>
        <v>0.37698412698412698</v>
      </c>
      <c r="F31" s="533">
        <f t="shared" si="13"/>
        <v>0.41614906832298137</v>
      </c>
      <c r="G31" s="533">
        <f t="shared" si="13"/>
        <v>0.378</v>
      </c>
      <c r="H31" s="533">
        <f t="shared" si="13"/>
        <v>0</v>
      </c>
      <c r="I31" s="533">
        <f t="shared" si="13"/>
        <v>0.37857142857142856</v>
      </c>
      <c r="J31" s="533">
        <f t="shared" si="13"/>
        <v>0.36922295581513459</v>
      </c>
    </row>
    <row r="32" spans="1:13" ht="18.75" customHeight="1" x14ac:dyDescent="0.15">
      <c r="A32" s="730" t="s">
        <v>453</v>
      </c>
      <c r="B32" s="507">
        <f>SUM(B68:D68)</f>
        <v>115</v>
      </c>
      <c r="C32" s="507">
        <f>SUM(E68:F68)</f>
        <v>106</v>
      </c>
      <c r="D32" s="507">
        <f>SUM(G68:J68)</f>
        <v>128</v>
      </c>
      <c r="E32" s="507">
        <f>SUM(K68:L68)</f>
        <v>94</v>
      </c>
      <c r="F32" s="507">
        <f>SUM(M68:N68)</f>
        <v>95</v>
      </c>
      <c r="G32" s="507">
        <f>SUM(O68:Q68)</f>
        <v>195</v>
      </c>
      <c r="H32" s="507">
        <f>R68</f>
        <v>1</v>
      </c>
      <c r="I32" s="507">
        <f>S68</f>
        <v>106</v>
      </c>
      <c r="J32" s="508">
        <f t="shared" ref="J32" si="14">SUM(B32:I32)</f>
        <v>840</v>
      </c>
    </row>
    <row r="33" spans="1:10" ht="18.75" customHeight="1" x14ac:dyDescent="0.15">
      <c r="A33" s="731"/>
      <c r="B33" s="533">
        <f>B32/B$14</f>
        <v>0.44401544401544402</v>
      </c>
      <c r="C33" s="533">
        <f t="shared" ref="C33:J33" si="15">C32/C$14</f>
        <v>0.52475247524752477</v>
      </c>
      <c r="D33" s="533">
        <f t="shared" si="15"/>
        <v>0.41693811074918569</v>
      </c>
      <c r="E33" s="533">
        <f t="shared" si="15"/>
        <v>0.37301587301587302</v>
      </c>
      <c r="F33" s="533">
        <f t="shared" si="15"/>
        <v>0.59006211180124224</v>
      </c>
      <c r="G33" s="533">
        <f t="shared" si="15"/>
        <v>0.39</v>
      </c>
      <c r="H33" s="533">
        <f t="shared" si="15"/>
        <v>0.125</v>
      </c>
      <c r="I33" s="533">
        <f t="shared" si="15"/>
        <v>0.37857142857142856</v>
      </c>
      <c r="J33" s="533">
        <f t="shared" si="15"/>
        <v>0.42661249365159981</v>
      </c>
    </row>
    <row r="34" spans="1:10" ht="18.75" customHeight="1" x14ac:dyDescent="0.15">
      <c r="A34" s="730" t="s">
        <v>333</v>
      </c>
      <c r="B34" s="507">
        <f>SUM(B69:D69)</f>
        <v>59</v>
      </c>
      <c r="C34" s="507">
        <f>SUM(E69:F69)</f>
        <v>75</v>
      </c>
      <c r="D34" s="507">
        <f>SUM(G69:J69)</f>
        <v>72</v>
      </c>
      <c r="E34" s="507">
        <f>SUM(K69:L69)</f>
        <v>99</v>
      </c>
      <c r="F34" s="507">
        <f>SUM(M69:N69)</f>
        <v>62</v>
      </c>
      <c r="G34" s="507">
        <f>SUM(O69:Q69)</f>
        <v>154</v>
      </c>
      <c r="H34" s="507">
        <f>R69</f>
        <v>1</v>
      </c>
      <c r="I34" s="507">
        <f>S69</f>
        <v>80</v>
      </c>
      <c r="J34" s="508">
        <f t="shared" ref="J34" si="16">SUM(B34:I34)</f>
        <v>602</v>
      </c>
    </row>
    <row r="35" spans="1:10" ht="18.75" customHeight="1" x14ac:dyDescent="0.15">
      <c r="A35" s="731"/>
      <c r="B35" s="533">
        <f>B34/B$14</f>
        <v>0.22779922779922779</v>
      </c>
      <c r="C35" s="533">
        <f t="shared" ref="C35:J35" si="17">C34/C$14</f>
        <v>0.37128712871287128</v>
      </c>
      <c r="D35" s="533">
        <f t="shared" si="17"/>
        <v>0.23452768729641693</v>
      </c>
      <c r="E35" s="533">
        <f t="shared" si="17"/>
        <v>0.39285714285714285</v>
      </c>
      <c r="F35" s="533">
        <f t="shared" si="17"/>
        <v>0.38509316770186336</v>
      </c>
      <c r="G35" s="533">
        <f t="shared" si="17"/>
        <v>0.308</v>
      </c>
      <c r="H35" s="533">
        <f t="shared" si="17"/>
        <v>0.125</v>
      </c>
      <c r="I35" s="533">
        <f t="shared" si="17"/>
        <v>0.2857142857142857</v>
      </c>
      <c r="J35" s="533">
        <f t="shared" si="17"/>
        <v>0.30573895378364652</v>
      </c>
    </row>
    <row r="36" spans="1:10" ht="18.75" customHeight="1" x14ac:dyDescent="0.15">
      <c r="A36" s="730" t="s">
        <v>454</v>
      </c>
      <c r="B36" s="507">
        <f>SUM(B70:D70)</f>
        <v>23</v>
      </c>
      <c r="C36" s="507">
        <f>SUM(E70:F70)</f>
        <v>18</v>
      </c>
      <c r="D36" s="507">
        <f>SUM(G70:J70)</f>
        <v>27</v>
      </c>
      <c r="E36" s="507">
        <f>SUM(K70:L70)</f>
        <v>25</v>
      </c>
      <c r="F36" s="507">
        <f>SUM(M70:N70)</f>
        <v>20</v>
      </c>
      <c r="G36" s="507">
        <f>SUM(O70:Q70)</f>
        <v>45</v>
      </c>
      <c r="H36" s="507">
        <f>R70</f>
        <v>0</v>
      </c>
      <c r="I36" s="507">
        <f>S70</f>
        <v>25</v>
      </c>
      <c r="J36" s="508">
        <f t="shared" ref="J36" si="18">SUM(B36:I36)</f>
        <v>183</v>
      </c>
    </row>
    <row r="37" spans="1:10" ht="18.75" customHeight="1" x14ac:dyDescent="0.15">
      <c r="A37" s="731"/>
      <c r="B37" s="533">
        <f>B36/B$14</f>
        <v>8.8803088803088806E-2</v>
      </c>
      <c r="C37" s="533">
        <f t="shared" ref="C37:J37" si="19">C36/C$14</f>
        <v>8.9108910891089105E-2</v>
      </c>
      <c r="D37" s="533">
        <f t="shared" si="19"/>
        <v>8.7947882736156349E-2</v>
      </c>
      <c r="E37" s="533">
        <f t="shared" si="19"/>
        <v>9.9206349206349201E-2</v>
      </c>
      <c r="F37" s="533">
        <f t="shared" si="19"/>
        <v>0.12422360248447205</v>
      </c>
      <c r="G37" s="533">
        <f t="shared" si="19"/>
        <v>0.09</v>
      </c>
      <c r="H37" s="533">
        <f t="shared" si="19"/>
        <v>0</v>
      </c>
      <c r="I37" s="533">
        <f t="shared" si="19"/>
        <v>8.9285714285714288E-2</v>
      </c>
      <c r="J37" s="533">
        <f t="shared" si="19"/>
        <v>9.2940578974098534E-2</v>
      </c>
    </row>
    <row r="38" spans="1:10" ht="18.75" customHeight="1" x14ac:dyDescent="0.15">
      <c r="A38" s="730" t="s">
        <v>334</v>
      </c>
      <c r="B38" s="507">
        <f>SUM(B71:D71)</f>
        <v>63</v>
      </c>
      <c r="C38" s="507">
        <f>SUM(E71:F71)</f>
        <v>105</v>
      </c>
      <c r="D38" s="507">
        <f>SUM(G71:J71)</f>
        <v>128</v>
      </c>
      <c r="E38" s="507">
        <f>SUM(K71:L71)</f>
        <v>71</v>
      </c>
      <c r="F38" s="507">
        <f>SUM(M71:N71)</f>
        <v>64</v>
      </c>
      <c r="G38" s="507">
        <f>SUM(O71:Q71)</f>
        <v>110</v>
      </c>
      <c r="H38" s="507">
        <f>R71</f>
        <v>0</v>
      </c>
      <c r="I38" s="507">
        <f>S71</f>
        <v>72</v>
      </c>
      <c r="J38" s="508">
        <f t="shared" ref="J38" si="20">SUM(B38:I38)</f>
        <v>613</v>
      </c>
    </row>
    <row r="39" spans="1:10" ht="18.75" customHeight="1" x14ac:dyDescent="0.15">
      <c r="A39" s="731"/>
      <c r="B39" s="533">
        <f>B38/B$14</f>
        <v>0.24324324324324326</v>
      </c>
      <c r="C39" s="533">
        <f t="shared" ref="C39:J39" si="21">C38/C$14</f>
        <v>0.51980198019801982</v>
      </c>
      <c r="D39" s="533">
        <f t="shared" si="21"/>
        <v>0.41693811074918569</v>
      </c>
      <c r="E39" s="533">
        <f t="shared" si="21"/>
        <v>0.28174603174603174</v>
      </c>
      <c r="F39" s="533">
        <f t="shared" si="21"/>
        <v>0.39751552795031053</v>
      </c>
      <c r="G39" s="533">
        <f t="shared" si="21"/>
        <v>0.22</v>
      </c>
      <c r="H39" s="533">
        <f t="shared" si="21"/>
        <v>0</v>
      </c>
      <c r="I39" s="533">
        <f t="shared" si="21"/>
        <v>0.25714285714285712</v>
      </c>
      <c r="J39" s="533">
        <f t="shared" si="21"/>
        <v>0.31132554596241746</v>
      </c>
    </row>
    <row r="40" spans="1:10" ht="18.75" customHeight="1" x14ac:dyDescent="0.15">
      <c r="A40" s="730" t="s">
        <v>335</v>
      </c>
      <c r="B40" s="507">
        <f>SUM(B72:D72)</f>
        <v>50</v>
      </c>
      <c r="C40" s="507">
        <f>SUM(E72:F72)</f>
        <v>47</v>
      </c>
      <c r="D40" s="507">
        <f>SUM(G72:J72)</f>
        <v>74</v>
      </c>
      <c r="E40" s="507">
        <f>SUM(K72:L72)</f>
        <v>30</v>
      </c>
      <c r="F40" s="507">
        <f>SUM(M72:N72)</f>
        <v>17</v>
      </c>
      <c r="G40" s="507">
        <f>SUM(O72:Q72)</f>
        <v>110</v>
      </c>
      <c r="H40" s="507">
        <f>R72</f>
        <v>2</v>
      </c>
      <c r="I40" s="507">
        <f>S72</f>
        <v>37</v>
      </c>
      <c r="J40" s="508">
        <f t="shared" ref="J40" si="22">SUM(B40:I40)</f>
        <v>367</v>
      </c>
    </row>
    <row r="41" spans="1:10" ht="18.75" customHeight="1" x14ac:dyDescent="0.15">
      <c r="A41" s="731"/>
      <c r="B41" s="533">
        <f>B40/B$14</f>
        <v>0.19305019305019305</v>
      </c>
      <c r="C41" s="533">
        <f t="shared" ref="C41:J41" si="23">C40/C$14</f>
        <v>0.23267326732673269</v>
      </c>
      <c r="D41" s="533">
        <f t="shared" si="23"/>
        <v>0.24104234527687296</v>
      </c>
      <c r="E41" s="533">
        <f t="shared" si="23"/>
        <v>0.11904761904761904</v>
      </c>
      <c r="F41" s="533">
        <f t="shared" si="23"/>
        <v>0.10559006211180125</v>
      </c>
      <c r="G41" s="533">
        <f t="shared" si="23"/>
        <v>0.22</v>
      </c>
      <c r="H41" s="533">
        <f t="shared" si="23"/>
        <v>0.25</v>
      </c>
      <c r="I41" s="533">
        <f t="shared" si="23"/>
        <v>0.13214285714285715</v>
      </c>
      <c r="J41" s="533">
        <f t="shared" si="23"/>
        <v>0.18638902996444895</v>
      </c>
    </row>
    <row r="42" spans="1:10" ht="18.75" customHeight="1" x14ac:dyDescent="0.15">
      <c r="A42" s="730" t="s">
        <v>246</v>
      </c>
      <c r="B42" s="507">
        <f>SUM(B73:D73)</f>
        <v>65</v>
      </c>
      <c r="C42" s="507">
        <f>SUM(E73:F73)</f>
        <v>37</v>
      </c>
      <c r="D42" s="507">
        <f>SUM(G73:J73)</f>
        <v>87</v>
      </c>
      <c r="E42" s="507">
        <f>SUM(K73:L73)</f>
        <v>55</v>
      </c>
      <c r="F42" s="507">
        <f>SUM(M73:N73)</f>
        <v>45</v>
      </c>
      <c r="G42" s="507">
        <f>SUM(O73:Q73)</f>
        <v>103</v>
      </c>
      <c r="H42" s="507">
        <f>R73</f>
        <v>0</v>
      </c>
      <c r="I42" s="507">
        <f>S73</f>
        <v>53</v>
      </c>
      <c r="J42" s="508">
        <f t="shared" ref="J42" si="24">SUM(B42:I42)</f>
        <v>445</v>
      </c>
    </row>
    <row r="43" spans="1:10" ht="18.75" customHeight="1" x14ac:dyDescent="0.15">
      <c r="A43" s="731"/>
      <c r="B43" s="533">
        <f>B42/B$14</f>
        <v>0.25096525096525096</v>
      </c>
      <c r="C43" s="533">
        <f t="shared" ref="C43:J43" si="25">C42/C$14</f>
        <v>0.18316831683168316</v>
      </c>
      <c r="D43" s="533">
        <f t="shared" si="25"/>
        <v>0.28338762214983715</v>
      </c>
      <c r="E43" s="533">
        <f t="shared" si="25"/>
        <v>0.21825396825396826</v>
      </c>
      <c r="F43" s="533">
        <f t="shared" si="25"/>
        <v>0.27950310559006208</v>
      </c>
      <c r="G43" s="533">
        <f t="shared" si="25"/>
        <v>0.20599999999999999</v>
      </c>
      <c r="H43" s="533">
        <f t="shared" si="25"/>
        <v>0</v>
      </c>
      <c r="I43" s="533">
        <f t="shared" si="25"/>
        <v>0.18928571428571428</v>
      </c>
      <c r="J43" s="533">
        <f t="shared" si="25"/>
        <v>0.22600304723209752</v>
      </c>
    </row>
    <row r="44" spans="1:10" ht="18.75" customHeight="1" x14ac:dyDescent="0.15">
      <c r="A44" s="730" t="s">
        <v>455</v>
      </c>
      <c r="B44" s="507">
        <f>SUM(B74:D74)</f>
        <v>73</v>
      </c>
      <c r="C44" s="507">
        <f>SUM(E74:F74)</f>
        <v>119</v>
      </c>
      <c r="D44" s="507">
        <f>SUM(G74:J74)</f>
        <v>144</v>
      </c>
      <c r="E44" s="507">
        <f>SUM(K74:L74)</f>
        <v>72</v>
      </c>
      <c r="F44" s="507">
        <f>SUM(M74:N74)</f>
        <v>41</v>
      </c>
      <c r="G44" s="507">
        <f>SUM(O74:Q74)</f>
        <v>168</v>
      </c>
      <c r="H44" s="507">
        <f>R74</f>
        <v>2</v>
      </c>
      <c r="I44" s="507">
        <f>S74</f>
        <v>90</v>
      </c>
      <c r="J44" s="508">
        <f t="shared" ref="J44" si="26">SUM(B44:I44)</f>
        <v>709</v>
      </c>
    </row>
    <row r="45" spans="1:10" ht="18.75" customHeight="1" x14ac:dyDescent="0.15">
      <c r="A45" s="731"/>
      <c r="B45" s="533">
        <f>B44/B$14</f>
        <v>0.28185328185328185</v>
      </c>
      <c r="C45" s="533">
        <f t="shared" ref="C45:J45" si="27">C44/C$14</f>
        <v>0.58910891089108908</v>
      </c>
      <c r="D45" s="533">
        <f t="shared" si="27"/>
        <v>0.46905537459283386</v>
      </c>
      <c r="E45" s="533">
        <f t="shared" si="27"/>
        <v>0.2857142857142857</v>
      </c>
      <c r="F45" s="533">
        <f t="shared" si="27"/>
        <v>0.25465838509316768</v>
      </c>
      <c r="G45" s="533">
        <f t="shared" si="27"/>
        <v>0.33600000000000002</v>
      </c>
      <c r="H45" s="533">
        <f t="shared" si="27"/>
        <v>0.25</v>
      </c>
      <c r="I45" s="533">
        <f t="shared" si="27"/>
        <v>0.32142857142857145</v>
      </c>
      <c r="J45" s="533">
        <f t="shared" si="27"/>
        <v>0.36008125952260028</v>
      </c>
    </row>
    <row r="46" spans="1:10" ht="18.75" customHeight="1" x14ac:dyDescent="0.15">
      <c r="A46" s="730" t="s">
        <v>456</v>
      </c>
      <c r="B46" s="507">
        <f>SUM(B75:D75)</f>
        <v>7</v>
      </c>
      <c r="C46" s="507">
        <f>SUM(E75:F75)</f>
        <v>5</v>
      </c>
      <c r="D46" s="507">
        <f>SUM(G75:J75)</f>
        <v>23</v>
      </c>
      <c r="E46" s="507">
        <f>SUM(K75:L75)</f>
        <v>9</v>
      </c>
      <c r="F46" s="507">
        <f>SUM(M75:N75)</f>
        <v>19</v>
      </c>
      <c r="G46" s="507">
        <f>SUM(O75:Q75)</f>
        <v>42</v>
      </c>
      <c r="H46" s="507">
        <f>R75</f>
        <v>0</v>
      </c>
      <c r="I46" s="507">
        <f>S75</f>
        <v>16</v>
      </c>
      <c r="J46" s="508">
        <f t="shared" ref="J46" si="28">SUM(B46:I46)</f>
        <v>121</v>
      </c>
    </row>
    <row r="47" spans="1:10" ht="18.75" customHeight="1" x14ac:dyDescent="0.15">
      <c r="A47" s="731"/>
      <c r="B47" s="533">
        <f>B46/B$14</f>
        <v>2.7027027027027029E-2</v>
      </c>
      <c r="C47" s="533">
        <f t="shared" ref="C47:J47" si="29">C46/C$14</f>
        <v>2.4752475247524754E-2</v>
      </c>
      <c r="D47" s="533">
        <f t="shared" si="29"/>
        <v>7.4918566775244305E-2</v>
      </c>
      <c r="E47" s="533">
        <f t="shared" si="29"/>
        <v>3.5714285714285712E-2</v>
      </c>
      <c r="F47" s="533">
        <f t="shared" si="29"/>
        <v>0.11801242236024845</v>
      </c>
      <c r="G47" s="533">
        <f t="shared" si="29"/>
        <v>8.4000000000000005E-2</v>
      </c>
      <c r="H47" s="533">
        <f t="shared" si="29"/>
        <v>0</v>
      </c>
      <c r="I47" s="533">
        <f t="shared" si="29"/>
        <v>5.7142857142857141E-2</v>
      </c>
      <c r="J47" s="533">
        <f t="shared" si="29"/>
        <v>6.1452513966480445E-2</v>
      </c>
    </row>
    <row r="48" spans="1:10" ht="18.75" customHeight="1" x14ac:dyDescent="0.15">
      <c r="A48" s="730" t="s">
        <v>457</v>
      </c>
      <c r="B48" s="507">
        <f>SUM(B76:D76)</f>
        <v>21</v>
      </c>
      <c r="C48" s="507">
        <f>SUM(E76:F76)</f>
        <v>8</v>
      </c>
      <c r="D48" s="507">
        <f>SUM(G76:J76)</f>
        <v>11</v>
      </c>
      <c r="E48" s="507">
        <f>SUM(K76:L76)</f>
        <v>18</v>
      </c>
      <c r="F48" s="507">
        <f>SUM(M76:N76)</f>
        <v>21</v>
      </c>
      <c r="G48" s="507">
        <f>SUM(O76:Q76)</f>
        <v>36</v>
      </c>
      <c r="H48" s="507">
        <f>R76</f>
        <v>0</v>
      </c>
      <c r="I48" s="507">
        <f>S76</f>
        <v>4</v>
      </c>
      <c r="J48" s="508">
        <f t="shared" ref="J48" si="30">SUM(B48:I48)</f>
        <v>119</v>
      </c>
    </row>
    <row r="49" spans="1:19" ht="18.75" customHeight="1" x14ac:dyDescent="0.15">
      <c r="A49" s="731"/>
      <c r="B49" s="533">
        <f>B48/B$14</f>
        <v>8.1081081081081086E-2</v>
      </c>
      <c r="C49" s="533">
        <f t="shared" ref="C49:J49" si="31">C48/C$14</f>
        <v>3.9603960396039604E-2</v>
      </c>
      <c r="D49" s="533">
        <f t="shared" si="31"/>
        <v>3.5830618892508145E-2</v>
      </c>
      <c r="E49" s="533">
        <f t="shared" si="31"/>
        <v>7.1428571428571425E-2</v>
      </c>
      <c r="F49" s="533">
        <f t="shared" si="31"/>
        <v>0.13043478260869565</v>
      </c>
      <c r="G49" s="533">
        <f t="shared" si="31"/>
        <v>7.1999999999999995E-2</v>
      </c>
      <c r="H49" s="533">
        <f t="shared" si="31"/>
        <v>0</v>
      </c>
      <c r="I49" s="533">
        <f t="shared" si="31"/>
        <v>1.4285714285714285E-2</v>
      </c>
      <c r="J49" s="533">
        <f t="shared" si="31"/>
        <v>6.043676993397664E-2</v>
      </c>
    </row>
    <row r="50" spans="1:19" ht="18.75" customHeight="1" x14ac:dyDescent="0.15">
      <c r="A50" s="730" t="s">
        <v>458</v>
      </c>
      <c r="B50" s="507">
        <f>SUM(B77:D77)</f>
        <v>0</v>
      </c>
      <c r="C50" s="507">
        <f>SUM(E77:F77)</f>
        <v>1</v>
      </c>
      <c r="D50" s="507">
        <f>SUM(G77:J77)</f>
        <v>0</v>
      </c>
      <c r="E50" s="507">
        <f>SUM(K77:L77)</f>
        <v>2</v>
      </c>
      <c r="F50" s="507">
        <f>SUM(M77:N77)</f>
        <v>8</v>
      </c>
      <c r="G50" s="507">
        <f>SUM(O77:Q77)</f>
        <v>0</v>
      </c>
      <c r="H50" s="507">
        <f>R77</f>
        <v>0</v>
      </c>
      <c r="I50" s="507">
        <f>S77</f>
        <v>0</v>
      </c>
      <c r="J50" s="508">
        <f t="shared" ref="J50" si="32">SUM(B50:I50)</f>
        <v>11</v>
      </c>
    </row>
    <row r="51" spans="1:19" ht="18.75" customHeight="1" x14ac:dyDescent="0.15">
      <c r="A51" s="731"/>
      <c r="B51" s="533">
        <f>B50/B$14</f>
        <v>0</v>
      </c>
      <c r="C51" s="533">
        <f t="shared" ref="C51:J51" si="33">C50/C$14</f>
        <v>4.9504950495049506E-3</v>
      </c>
      <c r="D51" s="533">
        <f t="shared" si="33"/>
        <v>0</v>
      </c>
      <c r="E51" s="533">
        <f t="shared" si="33"/>
        <v>7.9365079365079361E-3</v>
      </c>
      <c r="F51" s="533">
        <f t="shared" si="33"/>
        <v>4.9689440993788817E-2</v>
      </c>
      <c r="G51" s="533">
        <f t="shared" si="33"/>
        <v>0</v>
      </c>
      <c r="H51" s="533">
        <f t="shared" si="33"/>
        <v>0</v>
      </c>
      <c r="I51" s="533">
        <f t="shared" si="33"/>
        <v>0</v>
      </c>
      <c r="J51" s="533">
        <f t="shared" si="33"/>
        <v>5.5865921787709499E-3</v>
      </c>
    </row>
    <row r="52" spans="1:19" ht="18.75" customHeight="1" x14ac:dyDescent="0.15">
      <c r="A52" s="730" t="s">
        <v>459</v>
      </c>
      <c r="B52" s="507">
        <f>SUM(B78:D78)</f>
        <v>33</v>
      </c>
      <c r="C52" s="507">
        <f>SUM(E78:F78)</f>
        <v>13</v>
      </c>
      <c r="D52" s="507">
        <f>SUM(G78:J78)</f>
        <v>23</v>
      </c>
      <c r="E52" s="507">
        <f>SUM(K78:L78)</f>
        <v>31</v>
      </c>
      <c r="F52" s="507">
        <f>SUM(M78:N78)</f>
        <v>7</v>
      </c>
      <c r="G52" s="507">
        <f>SUM(O78:Q78)</f>
        <v>42</v>
      </c>
      <c r="H52" s="507">
        <f>R78</f>
        <v>0</v>
      </c>
      <c r="I52" s="507">
        <f>S78</f>
        <v>16</v>
      </c>
      <c r="J52" s="508">
        <f t="shared" ref="J52" si="34">SUM(B52:I52)</f>
        <v>165</v>
      </c>
    </row>
    <row r="53" spans="1:19" ht="18.75" customHeight="1" x14ac:dyDescent="0.15">
      <c r="A53" s="731"/>
      <c r="B53" s="533">
        <f>B52/B$14</f>
        <v>0.12741312741312741</v>
      </c>
      <c r="C53" s="533">
        <f t="shared" ref="C53:J53" si="35">C52/C$14</f>
        <v>6.4356435643564358E-2</v>
      </c>
      <c r="D53" s="533">
        <f t="shared" si="35"/>
        <v>7.4918566775244305E-2</v>
      </c>
      <c r="E53" s="533">
        <f t="shared" si="35"/>
        <v>0.12301587301587301</v>
      </c>
      <c r="F53" s="533">
        <f t="shared" si="35"/>
        <v>4.3478260869565216E-2</v>
      </c>
      <c r="G53" s="533">
        <f t="shared" si="35"/>
        <v>8.4000000000000005E-2</v>
      </c>
      <c r="H53" s="533">
        <f t="shared" si="35"/>
        <v>0</v>
      </c>
      <c r="I53" s="533">
        <f t="shared" si="35"/>
        <v>5.7142857142857141E-2</v>
      </c>
      <c r="J53" s="533">
        <f t="shared" si="35"/>
        <v>8.3798882681564241E-2</v>
      </c>
    </row>
    <row r="54" spans="1:19" ht="18.75" customHeight="1" x14ac:dyDescent="0.15">
      <c r="A54" s="730" t="s">
        <v>460</v>
      </c>
      <c r="B54" s="507">
        <f>SUM(B79:D79)</f>
        <v>26</v>
      </c>
      <c r="C54" s="507">
        <f>SUM(E79:F79)</f>
        <v>19</v>
      </c>
      <c r="D54" s="507">
        <f>SUM(G79:J79)</f>
        <v>26</v>
      </c>
      <c r="E54" s="507">
        <f>SUM(K79:L79)</f>
        <v>22</v>
      </c>
      <c r="F54" s="507">
        <f>SUM(M79:N79)</f>
        <v>10</v>
      </c>
      <c r="G54" s="507">
        <f>SUM(O79:Q79)</f>
        <v>61</v>
      </c>
      <c r="H54" s="507">
        <f>R79</f>
        <v>3</v>
      </c>
      <c r="I54" s="507">
        <f>S79</f>
        <v>15</v>
      </c>
      <c r="J54" s="508">
        <f t="shared" ref="J54" si="36">SUM(B54:I54)</f>
        <v>182</v>
      </c>
    </row>
    <row r="55" spans="1:19" ht="18.75" customHeight="1" x14ac:dyDescent="0.15">
      <c r="A55" s="731"/>
      <c r="B55" s="533">
        <f>B54/B$14</f>
        <v>0.10038610038610038</v>
      </c>
      <c r="C55" s="533">
        <f t="shared" ref="C55:J55" si="37">C54/C$14</f>
        <v>9.405940594059406E-2</v>
      </c>
      <c r="D55" s="533">
        <f t="shared" si="37"/>
        <v>8.4690553745928335E-2</v>
      </c>
      <c r="E55" s="533">
        <f t="shared" si="37"/>
        <v>8.7301587301587297E-2</v>
      </c>
      <c r="F55" s="533">
        <f t="shared" si="37"/>
        <v>6.2111801242236024E-2</v>
      </c>
      <c r="G55" s="533">
        <f t="shared" si="37"/>
        <v>0.122</v>
      </c>
      <c r="H55" s="533">
        <f t="shared" si="37"/>
        <v>0.375</v>
      </c>
      <c r="I55" s="533">
        <f t="shared" si="37"/>
        <v>5.3571428571428568E-2</v>
      </c>
      <c r="J55" s="533">
        <f t="shared" si="37"/>
        <v>9.2432706957846625E-2</v>
      </c>
    </row>
    <row r="56" spans="1:19" ht="18.75" customHeight="1" x14ac:dyDescent="0.15">
      <c r="A56" s="730" t="s">
        <v>247</v>
      </c>
      <c r="B56" s="507">
        <f>SUM(B80:D80)</f>
        <v>2</v>
      </c>
      <c r="C56" s="507">
        <f>SUM(E80:F80)</f>
        <v>1</v>
      </c>
      <c r="D56" s="507">
        <f>SUM(G80:J80)</f>
        <v>8</v>
      </c>
      <c r="E56" s="507">
        <f>SUM(K80:L80)</f>
        <v>0</v>
      </c>
      <c r="F56" s="507">
        <f>SUM(M80:N80)</f>
        <v>3</v>
      </c>
      <c r="G56" s="507">
        <f>SUM(O80:Q80)</f>
        <v>17</v>
      </c>
      <c r="H56" s="507">
        <f>R80</f>
        <v>0</v>
      </c>
      <c r="I56" s="507">
        <f>S80</f>
        <v>3</v>
      </c>
      <c r="J56" s="508">
        <f t="shared" ref="J56" si="38">SUM(B56:I56)</f>
        <v>34</v>
      </c>
    </row>
    <row r="57" spans="1:19" ht="18.75" customHeight="1" x14ac:dyDescent="0.15">
      <c r="A57" s="731"/>
      <c r="B57" s="533">
        <f>B56/B$14</f>
        <v>7.7220077220077222E-3</v>
      </c>
      <c r="C57" s="533">
        <f t="shared" ref="C57:J57" si="39">C56/C$14</f>
        <v>4.9504950495049506E-3</v>
      </c>
      <c r="D57" s="533">
        <f t="shared" si="39"/>
        <v>2.6058631921824105E-2</v>
      </c>
      <c r="E57" s="533">
        <f t="shared" si="39"/>
        <v>0</v>
      </c>
      <c r="F57" s="533">
        <f t="shared" si="39"/>
        <v>1.8633540372670808E-2</v>
      </c>
      <c r="G57" s="533">
        <f t="shared" si="39"/>
        <v>3.4000000000000002E-2</v>
      </c>
      <c r="H57" s="533">
        <f t="shared" si="39"/>
        <v>0</v>
      </c>
      <c r="I57" s="533">
        <f t="shared" si="39"/>
        <v>1.0714285714285714E-2</v>
      </c>
      <c r="J57" s="533">
        <f t="shared" si="39"/>
        <v>1.7267648552564754E-2</v>
      </c>
    </row>
    <row r="58" spans="1:19" ht="18.75" customHeight="1" x14ac:dyDescent="0.15">
      <c r="A58" s="730" t="s">
        <v>461</v>
      </c>
      <c r="B58" s="507">
        <f>SUM(B81:D81)</f>
        <v>13</v>
      </c>
      <c r="C58" s="507">
        <f>SUM(E81:F81)</f>
        <v>7</v>
      </c>
      <c r="D58" s="507">
        <f>SUM(G81:J81)</f>
        <v>36</v>
      </c>
      <c r="E58" s="507">
        <f>SUM(K81:L81)</f>
        <v>33</v>
      </c>
      <c r="F58" s="507">
        <f>SUM(M81:N81)</f>
        <v>5</v>
      </c>
      <c r="G58" s="507">
        <f>SUM(O81:Q81)</f>
        <v>5</v>
      </c>
      <c r="H58" s="507">
        <f>R81</f>
        <v>0</v>
      </c>
      <c r="I58" s="507">
        <f>S81</f>
        <v>12</v>
      </c>
      <c r="J58" s="508">
        <f t="shared" ref="J58" si="40">SUM(B58:I58)</f>
        <v>111</v>
      </c>
    </row>
    <row r="59" spans="1:19" ht="18.75" customHeight="1" x14ac:dyDescent="0.15">
      <c r="A59" s="731"/>
      <c r="B59" s="533">
        <f>B58/B$14</f>
        <v>5.019305019305019E-2</v>
      </c>
      <c r="C59" s="533">
        <f t="shared" ref="C59:J59" si="41">C58/C$14</f>
        <v>3.4653465346534656E-2</v>
      </c>
      <c r="D59" s="533">
        <f t="shared" si="41"/>
        <v>0.11726384364820847</v>
      </c>
      <c r="E59" s="533">
        <f t="shared" si="41"/>
        <v>0.13095238095238096</v>
      </c>
      <c r="F59" s="533">
        <f t="shared" si="41"/>
        <v>3.1055900621118012E-2</v>
      </c>
      <c r="G59" s="533">
        <f t="shared" si="41"/>
        <v>0.01</v>
      </c>
      <c r="H59" s="533">
        <f t="shared" si="41"/>
        <v>0</v>
      </c>
      <c r="I59" s="533">
        <f t="shared" si="41"/>
        <v>4.2857142857142858E-2</v>
      </c>
      <c r="J59" s="533">
        <f t="shared" si="41"/>
        <v>5.6373793803961403E-2</v>
      </c>
    </row>
    <row r="61" spans="1:19" hidden="1" x14ac:dyDescent="0.15">
      <c r="A61" s="377"/>
      <c r="B61" s="377"/>
      <c r="C61" s="377"/>
      <c r="D61" s="377"/>
      <c r="E61" s="377"/>
      <c r="F61" s="377"/>
      <c r="G61" s="377"/>
      <c r="H61" s="377"/>
      <c r="I61" s="377"/>
    </row>
    <row r="62" spans="1:19" hidden="1" x14ac:dyDescent="0.15">
      <c r="A62" s="54"/>
    </row>
    <row r="63" spans="1:19" hidden="1" x14ac:dyDescent="0.15">
      <c r="A63" s="377" t="s">
        <v>585</v>
      </c>
      <c r="B63" s="377" t="s">
        <v>384</v>
      </c>
      <c r="C63" s="377" t="s">
        <v>385</v>
      </c>
      <c r="D63" s="377" t="s">
        <v>386</v>
      </c>
      <c r="E63" s="377" t="s">
        <v>387</v>
      </c>
      <c r="F63" s="377" t="s">
        <v>388</v>
      </c>
      <c r="G63" s="377" t="s">
        <v>389</v>
      </c>
      <c r="H63" s="377" t="s">
        <v>390</v>
      </c>
      <c r="I63" s="377" t="s">
        <v>391</v>
      </c>
      <c r="J63" s="377" t="s">
        <v>392</v>
      </c>
      <c r="K63" s="377" t="s">
        <v>393</v>
      </c>
      <c r="L63" s="377" t="s">
        <v>394</v>
      </c>
      <c r="M63" s="377" t="s">
        <v>395</v>
      </c>
      <c r="N63" s="377" t="s">
        <v>396</v>
      </c>
      <c r="O63" s="377" t="s">
        <v>397</v>
      </c>
      <c r="P63" s="377" t="s">
        <v>398</v>
      </c>
      <c r="Q63" s="377" t="s">
        <v>399</v>
      </c>
      <c r="R63" s="377" t="s">
        <v>400</v>
      </c>
      <c r="S63" s="377" t="s">
        <v>401</v>
      </c>
    </row>
    <row r="64" spans="1:19" hidden="1" x14ac:dyDescent="0.15">
      <c r="A64" s="54" t="s">
        <v>309</v>
      </c>
      <c r="B64" s="23">
        <v>58</v>
      </c>
      <c r="C64" s="23">
        <v>15</v>
      </c>
      <c r="D64" s="23">
        <v>13</v>
      </c>
      <c r="E64" s="23">
        <v>28</v>
      </c>
      <c r="F64" s="23">
        <v>37</v>
      </c>
      <c r="G64" s="23">
        <v>83</v>
      </c>
      <c r="H64" s="23">
        <v>20</v>
      </c>
      <c r="I64" s="23">
        <v>14</v>
      </c>
      <c r="J64" s="23">
        <v>3</v>
      </c>
      <c r="K64" s="23">
        <v>66</v>
      </c>
      <c r="L64" s="23">
        <v>53</v>
      </c>
      <c r="M64" s="23">
        <v>27</v>
      </c>
      <c r="N64" s="23">
        <v>41</v>
      </c>
      <c r="O64" s="23">
        <v>71</v>
      </c>
      <c r="P64" s="23">
        <v>56</v>
      </c>
      <c r="Q64" s="23">
        <v>42</v>
      </c>
      <c r="R64" s="23">
        <v>0</v>
      </c>
      <c r="S64" s="23">
        <v>105</v>
      </c>
    </row>
    <row r="65" spans="1:19" hidden="1" x14ac:dyDescent="0.15">
      <c r="A65" s="54" t="s">
        <v>310</v>
      </c>
      <c r="B65" s="23">
        <v>50</v>
      </c>
      <c r="C65" s="23">
        <v>23</v>
      </c>
      <c r="D65" s="23">
        <v>5</v>
      </c>
      <c r="E65" s="23">
        <v>7</v>
      </c>
      <c r="F65" s="23">
        <v>67</v>
      </c>
      <c r="G65" s="23">
        <v>53</v>
      </c>
      <c r="H65" s="23">
        <v>18</v>
      </c>
      <c r="I65" s="23">
        <v>3</v>
      </c>
      <c r="J65" s="23">
        <v>3</v>
      </c>
      <c r="K65" s="23">
        <v>53</v>
      </c>
      <c r="L65" s="23">
        <v>35</v>
      </c>
      <c r="M65" s="23">
        <v>34</v>
      </c>
      <c r="N65" s="23">
        <v>26</v>
      </c>
      <c r="O65" s="23">
        <v>58</v>
      </c>
      <c r="P65" s="23">
        <v>36</v>
      </c>
      <c r="Q65" s="23">
        <v>25</v>
      </c>
      <c r="R65" s="23">
        <v>1</v>
      </c>
      <c r="S65" s="23">
        <v>75</v>
      </c>
    </row>
    <row r="66" spans="1:19" hidden="1" x14ac:dyDescent="0.15">
      <c r="A66" s="54" t="s">
        <v>166</v>
      </c>
      <c r="B66" s="23">
        <v>7</v>
      </c>
      <c r="C66" s="23">
        <v>8</v>
      </c>
      <c r="D66" s="23">
        <v>1</v>
      </c>
      <c r="E66" s="23">
        <v>4</v>
      </c>
      <c r="F66" s="23">
        <v>3</v>
      </c>
      <c r="G66" s="23">
        <v>14</v>
      </c>
      <c r="H66" s="23">
        <v>1</v>
      </c>
      <c r="I66" s="23">
        <v>1</v>
      </c>
      <c r="J66" s="23">
        <v>2</v>
      </c>
      <c r="K66" s="23">
        <v>5</v>
      </c>
      <c r="L66" s="23">
        <v>9</v>
      </c>
      <c r="M66" s="23">
        <v>11</v>
      </c>
      <c r="N66" s="23">
        <v>3</v>
      </c>
      <c r="O66" s="23">
        <v>15</v>
      </c>
      <c r="P66" s="23">
        <v>13</v>
      </c>
      <c r="Q66" s="23">
        <v>5</v>
      </c>
      <c r="R66" s="23">
        <v>1</v>
      </c>
      <c r="S66" s="23">
        <v>14</v>
      </c>
    </row>
    <row r="67" spans="1:19" hidden="1" x14ac:dyDescent="0.15">
      <c r="A67" s="54" t="s">
        <v>167</v>
      </c>
      <c r="B67" s="23">
        <v>29</v>
      </c>
      <c r="C67" s="23">
        <v>13</v>
      </c>
      <c r="D67" s="23">
        <v>23</v>
      </c>
      <c r="E67" s="23">
        <v>26</v>
      </c>
      <c r="F67" s="23">
        <v>67</v>
      </c>
      <c r="G67" s="23">
        <v>82</v>
      </c>
      <c r="H67" s="23">
        <v>12</v>
      </c>
      <c r="I67" s="23">
        <v>11</v>
      </c>
      <c r="J67" s="23">
        <v>7</v>
      </c>
      <c r="K67" s="23">
        <v>58</v>
      </c>
      <c r="L67" s="23">
        <v>37</v>
      </c>
      <c r="M67" s="23">
        <v>20</v>
      </c>
      <c r="N67" s="23">
        <v>47</v>
      </c>
      <c r="O67" s="23">
        <v>105</v>
      </c>
      <c r="P67" s="23">
        <v>59</v>
      </c>
      <c r="Q67" s="23">
        <v>25</v>
      </c>
      <c r="R67" s="23">
        <v>0</v>
      </c>
      <c r="S67" s="23">
        <v>106</v>
      </c>
    </row>
    <row r="68" spans="1:19" hidden="1" x14ac:dyDescent="0.15">
      <c r="A68" s="54" t="s">
        <v>168</v>
      </c>
      <c r="B68" s="23">
        <v>76</v>
      </c>
      <c r="C68" s="23">
        <v>23</v>
      </c>
      <c r="D68" s="23">
        <v>16</v>
      </c>
      <c r="E68" s="23">
        <v>14</v>
      </c>
      <c r="F68" s="23">
        <v>92</v>
      </c>
      <c r="G68" s="23">
        <v>99</v>
      </c>
      <c r="H68" s="23">
        <v>19</v>
      </c>
      <c r="I68" s="23">
        <v>5</v>
      </c>
      <c r="J68" s="23">
        <v>5</v>
      </c>
      <c r="K68" s="23">
        <v>56</v>
      </c>
      <c r="L68" s="23">
        <v>38</v>
      </c>
      <c r="M68" s="23">
        <v>57</v>
      </c>
      <c r="N68" s="23">
        <v>38</v>
      </c>
      <c r="O68" s="23">
        <v>112</v>
      </c>
      <c r="P68" s="23">
        <v>58</v>
      </c>
      <c r="Q68" s="23">
        <v>25</v>
      </c>
      <c r="R68" s="23">
        <v>1</v>
      </c>
      <c r="S68" s="23">
        <v>106</v>
      </c>
    </row>
    <row r="69" spans="1:19" hidden="1" x14ac:dyDescent="0.15">
      <c r="A69" s="54" t="s">
        <v>169</v>
      </c>
      <c r="B69" s="23">
        <v>31</v>
      </c>
      <c r="C69" s="23">
        <v>12</v>
      </c>
      <c r="D69" s="23">
        <v>16</v>
      </c>
      <c r="E69" s="23">
        <v>13</v>
      </c>
      <c r="F69" s="23">
        <v>62</v>
      </c>
      <c r="G69" s="23">
        <v>53</v>
      </c>
      <c r="H69" s="23">
        <v>9</v>
      </c>
      <c r="I69" s="23">
        <v>9</v>
      </c>
      <c r="J69" s="23">
        <v>1</v>
      </c>
      <c r="K69" s="23">
        <v>56</v>
      </c>
      <c r="L69" s="23">
        <v>43</v>
      </c>
      <c r="M69" s="23">
        <v>20</v>
      </c>
      <c r="N69" s="23">
        <v>42</v>
      </c>
      <c r="O69" s="23">
        <v>89</v>
      </c>
      <c r="P69" s="23">
        <v>40</v>
      </c>
      <c r="Q69" s="23">
        <v>25</v>
      </c>
      <c r="R69" s="23">
        <v>1</v>
      </c>
      <c r="S69" s="23">
        <v>80</v>
      </c>
    </row>
    <row r="70" spans="1:19" hidden="1" x14ac:dyDescent="0.15">
      <c r="A70" s="54" t="s">
        <v>170</v>
      </c>
      <c r="B70" s="23">
        <v>14</v>
      </c>
      <c r="C70" s="23">
        <v>8</v>
      </c>
      <c r="D70" s="23">
        <v>1</v>
      </c>
      <c r="E70" s="23">
        <v>6</v>
      </c>
      <c r="F70" s="23">
        <v>12</v>
      </c>
      <c r="G70" s="23">
        <v>20</v>
      </c>
      <c r="H70" s="23">
        <v>1</v>
      </c>
      <c r="I70" s="23">
        <v>4</v>
      </c>
      <c r="J70" s="23">
        <v>2</v>
      </c>
      <c r="K70" s="23">
        <v>15</v>
      </c>
      <c r="L70" s="23">
        <v>10</v>
      </c>
      <c r="M70" s="23">
        <v>5</v>
      </c>
      <c r="N70" s="23">
        <v>15</v>
      </c>
      <c r="O70" s="23">
        <v>25</v>
      </c>
      <c r="P70" s="23">
        <v>13</v>
      </c>
      <c r="Q70" s="23">
        <v>7</v>
      </c>
      <c r="R70" s="23">
        <v>0</v>
      </c>
      <c r="S70" s="23">
        <v>25</v>
      </c>
    </row>
    <row r="71" spans="1:19" hidden="1" x14ac:dyDescent="0.15">
      <c r="A71" s="54" t="s">
        <v>171</v>
      </c>
      <c r="B71" s="23">
        <v>41</v>
      </c>
      <c r="C71" s="23">
        <v>11</v>
      </c>
      <c r="D71" s="23">
        <v>11</v>
      </c>
      <c r="E71" s="23">
        <v>33</v>
      </c>
      <c r="F71" s="23">
        <v>72</v>
      </c>
      <c r="G71" s="23">
        <v>85</v>
      </c>
      <c r="H71" s="23">
        <v>24</v>
      </c>
      <c r="I71" s="23">
        <v>12</v>
      </c>
      <c r="J71" s="23">
        <v>7</v>
      </c>
      <c r="K71" s="23">
        <v>52</v>
      </c>
      <c r="L71" s="23">
        <v>19</v>
      </c>
      <c r="M71" s="23">
        <v>24</v>
      </c>
      <c r="N71" s="23">
        <v>40</v>
      </c>
      <c r="O71" s="23">
        <v>60</v>
      </c>
      <c r="P71" s="23">
        <v>32</v>
      </c>
      <c r="Q71" s="23">
        <v>18</v>
      </c>
      <c r="R71" s="23">
        <v>0</v>
      </c>
      <c r="S71" s="23">
        <v>72</v>
      </c>
    </row>
    <row r="72" spans="1:19" hidden="1" x14ac:dyDescent="0.15">
      <c r="A72" s="54" t="s">
        <v>172</v>
      </c>
      <c r="B72" s="23">
        <v>24</v>
      </c>
      <c r="C72" s="23">
        <v>14</v>
      </c>
      <c r="D72" s="23">
        <v>12</v>
      </c>
      <c r="E72" s="23">
        <v>16</v>
      </c>
      <c r="F72" s="23">
        <v>31</v>
      </c>
      <c r="G72" s="23">
        <v>50</v>
      </c>
      <c r="H72" s="23">
        <v>10</v>
      </c>
      <c r="I72" s="23">
        <v>6</v>
      </c>
      <c r="J72" s="23">
        <v>8</v>
      </c>
      <c r="K72" s="23">
        <v>23</v>
      </c>
      <c r="L72" s="23">
        <v>7</v>
      </c>
      <c r="M72" s="23">
        <v>10</v>
      </c>
      <c r="N72" s="23">
        <v>7</v>
      </c>
      <c r="O72" s="23">
        <v>51</v>
      </c>
      <c r="P72" s="23">
        <v>38</v>
      </c>
      <c r="Q72" s="23">
        <v>21</v>
      </c>
      <c r="R72" s="23">
        <v>2</v>
      </c>
      <c r="S72" s="23">
        <v>37</v>
      </c>
    </row>
    <row r="73" spans="1:19" hidden="1" x14ac:dyDescent="0.15">
      <c r="A73" s="54" t="s">
        <v>173</v>
      </c>
      <c r="B73" s="23">
        <v>26</v>
      </c>
      <c r="C73" s="23">
        <v>21</v>
      </c>
      <c r="D73" s="23">
        <v>18</v>
      </c>
      <c r="E73" s="23">
        <v>13</v>
      </c>
      <c r="F73" s="23">
        <v>24</v>
      </c>
      <c r="G73" s="23">
        <v>64</v>
      </c>
      <c r="H73" s="23">
        <v>10</v>
      </c>
      <c r="I73" s="23">
        <v>7</v>
      </c>
      <c r="J73" s="23">
        <v>6</v>
      </c>
      <c r="K73" s="23">
        <v>43</v>
      </c>
      <c r="L73" s="23">
        <v>12</v>
      </c>
      <c r="M73" s="23">
        <v>20</v>
      </c>
      <c r="N73" s="23">
        <v>25</v>
      </c>
      <c r="O73" s="23">
        <v>58</v>
      </c>
      <c r="P73" s="23">
        <v>33</v>
      </c>
      <c r="Q73" s="23">
        <v>12</v>
      </c>
      <c r="R73" s="23">
        <v>0</v>
      </c>
      <c r="S73" s="23">
        <v>53</v>
      </c>
    </row>
    <row r="74" spans="1:19" hidden="1" x14ac:dyDescent="0.15">
      <c r="A74" s="54" t="s">
        <v>174</v>
      </c>
      <c r="B74" s="23">
        <v>29</v>
      </c>
      <c r="C74" s="23">
        <v>35</v>
      </c>
      <c r="D74" s="23">
        <v>9</v>
      </c>
      <c r="E74" s="23">
        <v>38</v>
      </c>
      <c r="F74" s="23">
        <v>81</v>
      </c>
      <c r="G74" s="23">
        <v>86</v>
      </c>
      <c r="H74" s="23">
        <v>40</v>
      </c>
      <c r="I74" s="23">
        <v>12</v>
      </c>
      <c r="J74" s="23">
        <v>6</v>
      </c>
      <c r="K74" s="23">
        <v>37</v>
      </c>
      <c r="L74" s="23">
        <v>35</v>
      </c>
      <c r="M74" s="23">
        <v>14</v>
      </c>
      <c r="N74" s="23">
        <v>27</v>
      </c>
      <c r="O74" s="23">
        <v>94</v>
      </c>
      <c r="P74" s="23">
        <v>51</v>
      </c>
      <c r="Q74" s="23">
        <v>23</v>
      </c>
      <c r="R74" s="23">
        <v>2</v>
      </c>
      <c r="S74" s="23">
        <v>90</v>
      </c>
    </row>
    <row r="75" spans="1:19" hidden="1" x14ac:dyDescent="0.15">
      <c r="A75" s="54" t="s">
        <v>175</v>
      </c>
      <c r="B75" s="23">
        <v>2</v>
      </c>
      <c r="C75" s="23">
        <v>5</v>
      </c>
      <c r="D75" s="23">
        <v>0</v>
      </c>
      <c r="E75" s="23">
        <v>2</v>
      </c>
      <c r="F75" s="23">
        <v>3</v>
      </c>
      <c r="G75" s="23">
        <v>12</v>
      </c>
      <c r="H75" s="23">
        <v>8</v>
      </c>
      <c r="I75" s="23">
        <v>0</v>
      </c>
      <c r="J75" s="23">
        <v>3</v>
      </c>
      <c r="K75" s="23">
        <v>8</v>
      </c>
      <c r="L75" s="23">
        <v>1</v>
      </c>
      <c r="M75" s="23">
        <v>12</v>
      </c>
      <c r="N75" s="23">
        <v>7</v>
      </c>
      <c r="O75" s="23">
        <v>25</v>
      </c>
      <c r="P75" s="23">
        <v>11</v>
      </c>
      <c r="Q75" s="23">
        <v>6</v>
      </c>
      <c r="R75" s="23">
        <v>0</v>
      </c>
      <c r="S75" s="23">
        <v>16</v>
      </c>
    </row>
    <row r="76" spans="1:19" hidden="1" x14ac:dyDescent="0.15">
      <c r="A76" s="54" t="s">
        <v>176</v>
      </c>
      <c r="B76" s="23">
        <v>13</v>
      </c>
      <c r="C76" s="23">
        <v>6</v>
      </c>
      <c r="D76" s="23">
        <v>2</v>
      </c>
      <c r="E76" s="23">
        <v>0</v>
      </c>
      <c r="F76" s="23">
        <v>8</v>
      </c>
      <c r="G76" s="23">
        <v>8</v>
      </c>
      <c r="H76" s="23">
        <v>0</v>
      </c>
      <c r="I76" s="23">
        <v>3</v>
      </c>
      <c r="J76" s="23">
        <v>0</v>
      </c>
      <c r="K76" s="23">
        <v>11</v>
      </c>
      <c r="L76" s="23">
        <v>7</v>
      </c>
      <c r="M76" s="23">
        <v>16</v>
      </c>
      <c r="N76" s="23">
        <v>5</v>
      </c>
      <c r="O76" s="23">
        <v>19</v>
      </c>
      <c r="P76" s="23">
        <v>14</v>
      </c>
      <c r="Q76" s="23">
        <v>3</v>
      </c>
      <c r="R76" s="23">
        <v>0</v>
      </c>
      <c r="S76" s="23">
        <v>4</v>
      </c>
    </row>
    <row r="77" spans="1:19" hidden="1" x14ac:dyDescent="0.15">
      <c r="A77" s="54" t="s">
        <v>177</v>
      </c>
      <c r="B77" s="23">
        <v>0</v>
      </c>
      <c r="C77" s="23">
        <v>0</v>
      </c>
      <c r="D77" s="23">
        <v>0</v>
      </c>
      <c r="E77" s="23">
        <v>1</v>
      </c>
      <c r="F77" s="23">
        <v>0</v>
      </c>
      <c r="G77" s="23">
        <v>0</v>
      </c>
      <c r="H77" s="23">
        <v>0</v>
      </c>
      <c r="I77" s="23">
        <v>0</v>
      </c>
      <c r="J77" s="23">
        <v>0</v>
      </c>
      <c r="K77" s="23">
        <v>0</v>
      </c>
      <c r="L77" s="23">
        <v>2</v>
      </c>
      <c r="M77" s="23">
        <v>7</v>
      </c>
      <c r="N77" s="23">
        <v>1</v>
      </c>
      <c r="O77" s="23">
        <v>0</v>
      </c>
      <c r="P77" s="23">
        <v>0</v>
      </c>
      <c r="Q77" s="23">
        <v>0</v>
      </c>
      <c r="R77" s="23">
        <v>0</v>
      </c>
      <c r="S77" s="23">
        <v>0</v>
      </c>
    </row>
    <row r="78" spans="1:19" hidden="1" x14ac:dyDescent="0.15">
      <c r="A78" s="54" t="s">
        <v>178</v>
      </c>
      <c r="B78" s="23">
        <v>17</v>
      </c>
      <c r="C78" s="23">
        <v>12</v>
      </c>
      <c r="D78" s="23">
        <v>4</v>
      </c>
      <c r="E78" s="23">
        <v>1</v>
      </c>
      <c r="F78" s="23">
        <v>12</v>
      </c>
      <c r="G78" s="23">
        <v>21</v>
      </c>
      <c r="H78" s="23">
        <v>0</v>
      </c>
      <c r="I78" s="23">
        <v>2</v>
      </c>
      <c r="J78" s="23">
        <v>0</v>
      </c>
      <c r="K78" s="23">
        <v>22</v>
      </c>
      <c r="L78" s="23">
        <v>9</v>
      </c>
      <c r="M78" s="23">
        <v>0</v>
      </c>
      <c r="N78" s="23">
        <v>7</v>
      </c>
      <c r="O78" s="23">
        <v>24</v>
      </c>
      <c r="P78" s="23">
        <v>13</v>
      </c>
      <c r="Q78" s="23">
        <v>5</v>
      </c>
      <c r="R78" s="23">
        <v>0</v>
      </c>
      <c r="S78" s="23">
        <v>16</v>
      </c>
    </row>
    <row r="79" spans="1:19" hidden="1" x14ac:dyDescent="0.15">
      <c r="A79" s="54" t="s">
        <v>179</v>
      </c>
      <c r="B79" s="23">
        <v>13</v>
      </c>
      <c r="C79" s="23">
        <v>11</v>
      </c>
      <c r="D79" s="23">
        <v>2</v>
      </c>
      <c r="E79" s="23">
        <v>2</v>
      </c>
      <c r="F79" s="23">
        <v>17</v>
      </c>
      <c r="G79" s="23">
        <v>24</v>
      </c>
      <c r="H79" s="23">
        <v>0</v>
      </c>
      <c r="I79" s="23">
        <v>2</v>
      </c>
      <c r="J79" s="23">
        <v>0</v>
      </c>
      <c r="K79" s="23">
        <v>19</v>
      </c>
      <c r="L79" s="23">
        <v>3</v>
      </c>
      <c r="M79" s="23">
        <v>1</v>
      </c>
      <c r="N79" s="23">
        <v>9</v>
      </c>
      <c r="O79" s="23">
        <v>20</v>
      </c>
      <c r="P79" s="23">
        <v>39</v>
      </c>
      <c r="Q79" s="23">
        <v>2</v>
      </c>
      <c r="R79" s="23">
        <v>3</v>
      </c>
      <c r="S79" s="23">
        <v>15</v>
      </c>
    </row>
    <row r="80" spans="1:19" hidden="1" x14ac:dyDescent="0.15">
      <c r="A80" s="54" t="s">
        <v>180</v>
      </c>
      <c r="B80" s="23">
        <v>1</v>
      </c>
      <c r="C80" s="23">
        <v>0</v>
      </c>
      <c r="D80" s="23">
        <v>1</v>
      </c>
      <c r="E80" s="23">
        <v>0</v>
      </c>
      <c r="F80" s="23">
        <v>1</v>
      </c>
      <c r="G80" s="23">
        <v>6</v>
      </c>
      <c r="H80" s="23">
        <v>2</v>
      </c>
      <c r="I80" s="23">
        <v>0</v>
      </c>
      <c r="J80" s="23">
        <v>0</v>
      </c>
      <c r="K80" s="23">
        <v>0</v>
      </c>
      <c r="L80" s="23">
        <v>0</v>
      </c>
      <c r="M80" s="23">
        <v>1</v>
      </c>
      <c r="N80" s="23">
        <v>2</v>
      </c>
      <c r="O80" s="23">
        <v>4</v>
      </c>
      <c r="P80" s="23">
        <v>8</v>
      </c>
      <c r="Q80" s="23">
        <v>5</v>
      </c>
      <c r="R80" s="23">
        <v>0</v>
      </c>
      <c r="S80" s="23">
        <v>3</v>
      </c>
    </row>
    <row r="81" spans="1:19" hidden="1" x14ac:dyDescent="0.15">
      <c r="A81" s="54" t="s">
        <v>181</v>
      </c>
      <c r="B81" s="23">
        <v>3</v>
      </c>
      <c r="C81" s="23">
        <v>7</v>
      </c>
      <c r="D81" s="23">
        <v>3</v>
      </c>
      <c r="E81" s="23">
        <v>2</v>
      </c>
      <c r="F81" s="23">
        <v>5</v>
      </c>
      <c r="G81" s="23">
        <v>27</v>
      </c>
      <c r="H81" s="23">
        <v>6</v>
      </c>
      <c r="I81" s="23">
        <v>0</v>
      </c>
      <c r="J81" s="23">
        <v>3</v>
      </c>
      <c r="K81" s="23">
        <v>25</v>
      </c>
      <c r="L81" s="23">
        <v>8</v>
      </c>
      <c r="M81" s="23">
        <v>0</v>
      </c>
      <c r="N81" s="23">
        <v>5</v>
      </c>
      <c r="O81" s="23">
        <v>3</v>
      </c>
      <c r="P81" s="23">
        <v>2</v>
      </c>
      <c r="Q81" s="23">
        <v>0</v>
      </c>
      <c r="R81" s="23">
        <v>0</v>
      </c>
      <c r="S81" s="23">
        <v>12</v>
      </c>
    </row>
    <row r="82" spans="1:19" hidden="1" x14ac:dyDescent="0.15">
      <c r="A82" s="54"/>
    </row>
    <row r="83" spans="1:19" hidden="1" x14ac:dyDescent="0.15">
      <c r="A83" s="54"/>
    </row>
    <row r="84" spans="1:19" hidden="1" x14ac:dyDescent="0.15"/>
    <row r="85" spans="1:19" hidden="1" x14ac:dyDescent="0.15"/>
  </sheetData>
  <mergeCells count="25">
    <mergeCell ref="A16:A17"/>
    <mergeCell ref="A4:A5"/>
    <mergeCell ref="A6:A7"/>
    <mergeCell ref="A8:A9"/>
    <mergeCell ref="A10:A11"/>
    <mergeCell ref="A14:A15"/>
    <mergeCell ref="A44:A45"/>
    <mergeCell ref="A18:A19"/>
    <mergeCell ref="A24:A25"/>
    <mergeCell ref="A26:A27"/>
    <mergeCell ref="A28:A29"/>
    <mergeCell ref="A30:A31"/>
    <mergeCell ref="A32:A33"/>
    <mergeCell ref="A34:A35"/>
    <mergeCell ref="A36:A37"/>
    <mergeCell ref="A38:A39"/>
    <mergeCell ref="A40:A41"/>
    <mergeCell ref="A42:A43"/>
    <mergeCell ref="A58:A59"/>
    <mergeCell ref="A46:A47"/>
    <mergeCell ref="A48:A49"/>
    <mergeCell ref="A50:A51"/>
    <mergeCell ref="A52:A53"/>
    <mergeCell ref="A54:A55"/>
    <mergeCell ref="A56:A57"/>
  </mergeCells>
  <phoneticPr fontId="2"/>
  <pageMargins left="0.70866141732283472" right="0.70866141732283472" top="0.74803149606299213" bottom="0.74803149606299213" header="0.31496062992125984" footer="0.31496062992125984"/>
  <pageSetup paperSize="9" scale="73" orientation="portrait" r:id="rId1"/>
  <rowBreaks count="1" manualBreakCount="1">
    <brk id="20" max="9" man="1"/>
  </rowBreaks>
  <ignoredErrors>
    <ignoredError sqref="B4:J4 B14:J14 B24:J24 B59:J59 B25:I25" formulaRange="1"/>
    <ignoredError sqref="B5:J9 B15:J16 B26:J58 J25" formula="1"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Button 1">
              <controlPr defaultSize="0" print="0" autoFill="0" autoPict="0" macro="[0]!データ削除30">
                <anchor moveWithCells="1" sizeWithCells="1">
                  <from>
                    <xdr:col>31</xdr:col>
                    <xdr:colOff>466725</xdr:colOff>
                    <xdr:row>1</xdr:row>
                    <xdr:rowOff>190500</xdr:rowOff>
                  </from>
                  <to>
                    <xdr:col>35</xdr:col>
                    <xdr:colOff>57150</xdr:colOff>
                    <xdr:row>4</xdr:row>
                    <xdr:rowOff>95250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theme="5" tint="0.39997558519241921"/>
    <pageSetUpPr fitToPage="1"/>
  </sheetPr>
  <dimension ref="A1:U44"/>
  <sheetViews>
    <sheetView showGridLines="0" zoomScale="70" zoomScaleNormal="70" zoomScaleSheetLayoutView="100" workbookViewId="0">
      <selection activeCell="I9" sqref="I9"/>
    </sheetView>
  </sheetViews>
  <sheetFormatPr defaultColWidth="13.75" defaultRowHeight="18.75" x14ac:dyDescent="0.15"/>
  <cols>
    <col min="1" max="1" width="15.625" style="1" customWidth="1"/>
    <col min="2" max="11" width="9.375" style="1" customWidth="1"/>
    <col min="12" max="12" width="8" style="1" customWidth="1"/>
    <col min="13" max="16" width="8" style="1" hidden="1" customWidth="1"/>
    <col min="17" max="20" width="8" style="1" customWidth="1"/>
    <col min="21" max="21" width="7.625" style="1" customWidth="1"/>
    <col min="22" max="16384" width="13.75" style="1"/>
  </cols>
  <sheetData>
    <row r="1" spans="1:11" s="3" customFormat="1" ht="19.5" x14ac:dyDescent="0.15">
      <c r="A1" s="2" t="s">
        <v>462</v>
      </c>
    </row>
    <row r="2" spans="1:11" x14ac:dyDescent="0.15">
      <c r="A2" s="4"/>
    </row>
    <row r="3" spans="1:11" ht="37.5" x14ac:dyDescent="0.15">
      <c r="A3" s="506"/>
      <c r="B3" s="506" t="s">
        <v>376</v>
      </c>
      <c r="C3" s="506" t="s">
        <v>377</v>
      </c>
      <c r="D3" s="506" t="s">
        <v>378</v>
      </c>
      <c r="E3" s="506" t="s">
        <v>379</v>
      </c>
      <c r="F3" s="506" t="s">
        <v>380</v>
      </c>
      <c r="G3" s="506" t="s">
        <v>381</v>
      </c>
      <c r="H3" s="506" t="s">
        <v>382</v>
      </c>
      <c r="I3" s="506" t="s">
        <v>383</v>
      </c>
      <c r="J3" s="535" t="s">
        <v>463</v>
      </c>
      <c r="K3" s="506" t="s">
        <v>62</v>
      </c>
    </row>
    <row r="4" spans="1:11" s="22" customFormat="1" ht="18.75" customHeight="1" x14ac:dyDescent="0.15">
      <c r="A4" s="721" t="s">
        <v>2</v>
      </c>
      <c r="B4" s="507">
        <f>SUM(B32:D32)</f>
        <v>13</v>
      </c>
      <c r="C4" s="507">
        <f>SUM(E32:F32)</f>
        <v>8</v>
      </c>
      <c r="D4" s="507">
        <f>SUM(G32:J32)</f>
        <v>21</v>
      </c>
      <c r="E4" s="507">
        <f>SUM(K32:L32)</f>
        <v>14</v>
      </c>
      <c r="F4" s="507">
        <f>SUM(M32:N32)</f>
        <v>12</v>
      </c>
      <c r="G4" s="507">
        <f>SUM(O32:Q32)</f>
        <v>12</v>
      </c>
      <c r="H4" s="507">
        <f>R32</f>
        <v>35</v>
      </c>
      <c r="I4" s="507">
        <f>S32</f>
        <v>25</v>
      </c>
      <c r="J4" s="507">
        <f>SUM(T32:U32)</f>
        <v>12</v>
      </c>
      <c r="K4" s="508">
        <f>SUM(B4:J4)</f>
        <v>152</v>
      </c>
    </row>
    <row r="5" spans="1:11" s="22" customFormat="1" ht="18.75" customHeight="1" x14ac:dyDescent="0.15">
      <c r="A5" s="723"/>
      <c r="B5" s="512">
        <f>B4/B$22</f>
        <v>1.0743801652892562E-2</v>
      </c>
      <c r="C5" s="512">
        <f t="shared" ref="C5:K5" si="0">C4/C$22</f>
        <v>6.379585326953748E-3</v>
      </c>
      <c r="D5" s="512">
        <f t="shared" si="0"/>
        <v>1.5945330296127564E-2</v>
      </c>
      <c r="E5" s="512">
        <f t="shared" si="0"/>
        <v>1.1874469889737066E-2</v>
      </c>
      <c r="F5" s="512">
        <f t="shared" si="0"/>
        <v>1.1707317073170732E-2</v>
      </c>
      <c r="G5" s="512">
        <f t="shared" si="0"/>
        <v>3.6866359447004608E-3</v>
      </c>
      <c r="H5" s="512">
        <f t="shared" si="0"/>
        <v>1.0995915802701853E-2</v>
      </c>
      <c r="I5" s="512">
        <f t="shared" si="0"/>
        <v>1.6339869281045753E-2</v>
      </c>
      <c r="J5" s="512">
        <f t="shared" si="0"/>
        <v>9.2307692307692316E-3</v>
      </c>
      <c r="K5" s="512">
        <f t="shared" si="0"/>
        <v>9.9652527371664589E-3</v>
      </c>
    </row>
    <row r="6" spans="1:11" s="22" customFormat="1" ht="18.75" customHeight="1" x14ac:dyDescent="0.15">
      <c r="A6" s="721" t="s">
        <v>3</v>
      </c>
      <c r="B6" s="507">
        <f>SUM(B33:D33)</f>
        <v>23</v>
      </c>
      <c r="C6" s="507">
        <f>SUM(E33:F33)</f>
        <v>18</v>
      </c>
      <c r="D6" s="507">
        <f>SUM(G33:J33)</f>
        <v>23</v>
      </c>
      <c r="E6" s="507">
        <f>SUM(K33:L33)</f>
        <v>23</v>
      </c>
      <c r="F6" s="507">
        <f>SUM(M33:N33)</f>
        <v>19</v>
      </c>
      <c r="G6" s="507">
        <f>SUM(O33:Q33)</f>
        <v>36</v>
      </c>
      <c r="H6" s="507">
        <f>R33</f>
        <v>74</v>
      </c>
      <c r="I6" s="507">
        <f>S33</f>
        <v>39</v>
      </c>
      <c r="J6" s="507">
        <f>SUM(T33:U33)</f>
        <v>22</v>
      </c>
      <c r="K6" s="508">
        <f>SUM(B6:J6)</f>
        <v>277</v>
      </c>
    </row>
    <row r="7" spans="1:11" s="22" customFormat="1" ht="18.75" customHeight="1" x14ac:dyDescent="0.15">
      <c r="A7" s="723"/>
      <c r="B7" s="512">
        <f>B6/B$22</f>
        <v>1.9008264462809916E-2</v>
      </c>
      <c r="C7" s="512">
        <f t="shared" ref="C7:K7" si="1">C6/C$22</f>
        <v>1.4354066985645933E-2</v>
      </c>
      <c r="D7" s="512">
        <f t="shared" si="1"/>
        <v>1.7463933181473046E-2</v>
      </c>
      <c r="E7" s="512">
        <f t="shared" si="1"/>
        <v>1.9508057675996608E-2</v>
      </c>
      <c r="F7" s="512">
        <f t="shared" si="1"/>
        <v>1.8536585365853658E-2</v>
      </c>
      <c r="G7" s="512">
        <f t="shared" si="1"/>
        <v>1.1059907834101382E-2</v>
      </c>
      <c r="H7" s="512">
        <f t="shared" si="1"/>
        <v>2.3248507697141062E-2</v>
      </c>
      <c r="I7" s="512">
        <f t="shared" si="1"/>
        <v>2.5490196078431372E-2</v>
      </c>
      <c r="J7" s="512">
        <f t="shared" si="1"/>
        <v>1.6923076923076923E-2</v>
      </c>
      <c r="K7" s="512">
        <f t="shared" si="1"/>
        <v>1.8160361896020456E-2</v>
      </c>
    </row>
    <row r="8" spans="1:11" s="22" customFormat="1" ht="18.75" customHeight="1" x14ac:dyDescent="0.15">
      <c r="A8" s="721" t="s">
        <v>4</v>
      </c>
      <c r="B8" s="507">
        <f>SUM(B34:D34)</f>
        <v>56</v>
      </c>
      <c r="C8" s="507">
        <f>SUM(E34:F34)</f>
        <v>49</v>
      </c>
      <c r="D8" s="507">
        <f>SUM(G34:J34)</f>
        <v>54</v>
      </c>
      <c r="E8" s="507">
        <f>SUM(K34:L34)</f>
        <v>53</v>
      </c>
      <c r="F8" s="507">
        <f>SUM(M34:N34)</f>
        <v>42</v>
      </c>
      <c r="G8" s="507">
        <f>SUM(O34:Q34)</f>
        <v>87</v>
      </c>
      <c r="H8" s="507">
        <f>R34</f>
        <v>150</v>
      </c>
      <c r="I8" s="507">
        <f>S34</f>
        <v>46</v>
      </c>
      <c r="J8" s="507">
        <f>SUM(T34:U34)</f>
        <v>56</v>
      </c>
      <c r="K8" s="508">
        <f>SUM(B8:J8)</f>
        <v>593</v>
      </c>
    </row>
    <row r="9" spans="1:11" s="22" customFormat="1" ht="18.75" customHeight="1" x14ac:dyDescent="0.15">
      <c r="A9" s="723"/>
      <c r="B9" s="512">
        <f>B8/B$22</f>
        <v>4.6280991735537187E-2</v>
      </c>
      <c r="C9" s="512">
        <f t="shared" ref="C9:K9" si="2">C8/C$22</f>
        <v>3.9074960127591707E-2</v>
      </c>
      <c r="D9" s="512">
        <f t="shared" si="2"/>
        <v>4.1002277904328019E-2</v>
      </c>
      <c r="E9" s="512">
        <f t="shared" si="2"/>
        <v>4.4953350296861747E-2</v>
      </c>
      <c r="F9" s="512">
        <f t="shared" si="2"/>
        <v>4.0975609756097563E-2</v>
      </c>
      <c r="G9" s="512">
        <f t="shared" si="2"/>
        <v>2.6728110599078342E-2</v>
      </c>
      <c r="H9" s="512">
        <f t="shared" si="2"/>
        <v>4.71253534401508E-2</v>
      </c>
      <c r="I9" s="512">
        <f t="shared" si="2"/>
        <v>3.0065359477124184E-2</v>
      </c>
      <c r="J9" s="512">
        <f t="shared" si="2"/>
        <v>4.3076923076923075E-2</v>
      </c>
      <c r="K9" s="512">
        <f t="shared" si="2"/>
        <v>3.887759784960336E-2</v>
      </c>
    </row>
    <row r="10" spans="1:11" s="22" customFormat="1" ht="18.75" customHeight="1" x14ac:dyDescent="0.15">
      <c r="A10" s="721" t="s">
        <v>5</v>
      </c>
      <c r="B10" s="507">
        <f>SUM(B35:D35)</f>
        <v>115</v>
      </c>
      <c r="C10" s="507">
        <f>SUM(E35:F35)</f>
        <v>96</v>
      </c>
      <c r="D10" s="507">
        <f>SUM(G35:J35)</f>
        <v>173</v>
      </c>
      <c r="E10" s="507">
        <f>SUM(K35:L35)</f>
        <v>130</v>
      </c>
      <c r="F10" s="507">
        <f>SUM(M35:N35)</f>
        <v>99</v>
      </c>
      <c r="G10" s="507">
        <f>SUM(O35:Q35)</f>
        <v>205</v>
      </c>
      <c r="H10" s="507">
        <f>R35</f>
        <v>329</v>
      </c>
      <c r="I10" s="507">
        <f>S35</f>
        <v>155</v>
      </c>
      <c r="J10" s="507">
        <f>SUM(T35:U35)</f>
        <v>102</v>
      </c>
      <c r="K10" s="508">
        <f>SUM(B10:J10)</f>
        <v>1404</v>
      </c>
    </row>
    <row r="11" spans="1:11" s="22" customFormat="1" ht="18.75" customHeight="1" x14ac:dyDescent="0.15">
      <c r="A11" s="723"/>
      <c r="B11" s="512">
        <f>B10/B$22</f>
        <v>9.5041322314049589E-2</v>
      </c>
      <c r="C11" s="512">
        <f t="shared" ref="C11:K11" si="3">C10/C$22</f>
        <v>7.6555023923444973E-2</v>
      </c>
      <c r="D11" s="512">
        <f t="shared" si="3"/>
        <v>0.1313591495823842</v>
      </c>
      <c r="E11" s="512">
        <f t="shared" si="3"/>
        <v>0.11026293469041561</v>
      </c>
      <c r="F11" s="512">
        <f t="shared" si="3"/>
        <v>9.6585365853658539E-2</v>
      </c>
      <c r="G11" s="512">
        <f t="shared" si="3"/>
        <v>6.2980030721966201E-2</v>
      </c>
      <c r="H11" s="512">
        <f t="shared" si="3"/>
        <v>0.10336160854539743</v>
      </c>
      <c r="I11" s="512">
        <f t="shared" si="3"/>
        <v>0.10130718954248366</v>
      </c>
      <c r="J11" s="512">
        <f t="shared" si="3"/>
        <v>7.8461538461538458E-2</v>
      </c>
      <c r="K11" s="512">
        <f t="shared" si="3"/>
        <v>9.2047466072248077E-2</v>
      </c>
    </row>
    <row r="12" spans="1:11" s="22" customFormat="1" ht="18.75" customHeight="1" x14ac:dyDescent="0.15">
      <c r="A12" s="721" t="s">
        <v>6</v>
      </c>
      <c r="B12" s="507">
        <f>SUM(B36:D36)</f>
        <v>187</v>
      </c>
      <c r="C12" s="507">
        <f>SUM(E36:F36)</f>
        <v>177</v>
      </c>
      <c r="D12" s="507">
        <f>SUM(G36:J36)</f>
        <v>257</v>
      </c>
      <c r="E12" s="507">
        <f>SUM(K36:L36)</f>
        <v>241</v>
      </c>
      <c r="F12" s="507">
        <f>SUM(M36:N36)</f>
        <v>175</v>
      </c>
      <c r="G12" s="507">
        <f>SUM(O36:Q36)</f>
        <v>389</v>
      </c>
      <c r="H12" s="507">
        <f>R36</f>
        <v>558</v>
      </c>
      <c r="I12" s="507">
        <f>S36</f>
        <v>236</v>
      </c>
      <c r="J12" s="507">
        <f>SUM(T36:U36)</f>
        <v>204</v>
      </c>
      <c r="K12" s="508">
        <f>SUM(B12:J12)</f>
        <v>2424</v>
      </c>
    </row>
    <row r="13" spans="1:11" s="22" customFormat="1" ht="18.75" customHeight="1" x14ac:dyDescent="0.15">
      <c r="A13" s="723"/>
      <c r="B13" s="512">
        <f>B12/B$22</f>
        <v>0.15454545454545454</v>
      </c>
      <c r="C13" s="512">
        <f t="shared" ref="C13:K13" si="4">C12/C$22</f>
        <v>0.14114832535885166</v>
      </c>
      <c r="D13" s="512">
        <f t="shared" si="4"/>
        <v>0.19514047076689445</v>
      </c>
      <c r="E13" s="512">
        <f t="shared" si="4"/>
        <v>0.20441051738761662</v>
      </c>
      <c r="F13" s="512">
        <f t="shared" si="4"/>
        <v>0.17073170731707318</v>
      </c>
      <c r="G13" s="512">
        <f t="shared" si="4"/>
        <v>0.11950844854070661</v>
      </c>
      <c r="H13" s="512">
        <f t="shared" si="4"/>
        <v>0.17530631479736097</v>
      </c>
      <c r="I13" s="512">
        <f t="shared" si="4"/>
        <v>0.1542483660130719</v>
      </c>
      <c r="J13" s="512">
        <f t="shared" si="4"/>
        <v>0.15692307692307692</v>
      </c>
      <c r="K13" s="512">
        <f t="shared" si="4"/>
        <v>0.15891955680849668</v>
      </c>
    </row>
    <row r="14" spans="1:11" s="22" customFormat="1" ht="18.75" customHeight="1" x14ac:dyDescent="0.15">
      <c r="A14" s="721" t="s">
        <v>7</v>
      </c>
      <c r="B14" s="507">
        <f>SUM(B37:D37)</f>
        <v>206</v>
      </c>
      <c r="C14" s="507">
        <f>SUM(E37:F37)</f>
        <v>189</v>
      </c>
      <c r="D14" s="507">
        <f>SUM(G37:J37)</f>
        <v>198</v>
      </c>
      <c r="E14" s="507">
        <f>SUM(K37:L37)</f>
        <v>235</v>
      </c>
      <c r="F14" s="507">
        <f>SUM(M37:N37)</f>
        <v>177</v>
      </c>
      <c r="G14" s="507">
        <f>SUM(O37:Q37)</f>
        <v>487</v>
      </c>
      <c r="H14" s="507">
        <f>R37</f>
        <v>609</v>
      </c>
      <c r="I14" s="507">
        <f>S37</f>
        <v>258</v>
      </c>
      <c r="J14" s="507">
        <f>SUM(T37:U37)</f>
        <v>257</v>
      </c>
      <c r="K14" s="508">
        <f>SUM(B14:J14)</f>
        <v>2616</v>
      </c>
    </row>
    <row r="15" spans="1:11" s="22" customFormat="1" ht="18.75" customHeight="1" x14ac:dyDescent="0.15">
      <c r="A15" s="723"/>
      <c r="B15" s="512">
        <f>B14/B$22</f>
        <v>0.17024793388429751</v>
      </c>
      <c r="C15" s="512">
        <f t="shared" ref="C15:K15" si="5">C14/C$22</f>
        <v>0.15071770334928231</v>
      </c>
      <c r="D15" s="512">
        <f t="shared" si="5"/>
        <v>0.15034168564920272</v>
      </c>
      <c r="E15" s="512">
        <f t="shared" si="5"/>
        <v>0.1993214588634436</v>
      </c>
      <c r="F15" s="512">
        <f t="shared" si="5"/>
        <v>0.17268292682926828</v>
      </c>
      <c r="G15" s="512">
        <f t="shared" si="5"/>
        <v>0.14961597542242702</v>
      </c>
      <c r="H15" s="512">
        <f t="shared" si="5"/>
        <v>0.19132893496701225</v>
      </c>
      <c r="I15" s="512">
        <f t="shared" si="5"/>
        <v>0.16862745098039217</v>
      </c>
      <c r="J15" s="512">
        <f t="shared" si="5"/>
        <v>0.19769230769230769</v>
      </c>
      <c r="K15" s="512">
        <f t="shared" si="5"/>
        <v>0.17150724447649643</v>
      </c>
    </row>
    <row r="16" spans="1:11" s="22" customFormat="1" ht="18.75" customHeight="1" x14ac:dyDescent="0.15">
      <c r="A16" s="721" t="s">
        <v>8</v>
      </c>
      <c r="B16" s="507">
        <f>SUM(B38:D38)</f>
        <v>318</v>
      </c>
      <c r="C16" s="507">
        <f>SUM(E38:F38)</f>
        <v>309</v>
      </c>
      <c r="D16" s="507">
        <f>SUM(G38:J38)</f>
        <v>321</v>
      </c>
      <c r="E16" s="507">
        <f>SUM(K38:L38)</f>
        <v>293</v>
      </c>
      <c r="F16" s="507">
        <f>SUM(M38:N38)</f>
        <v>276</v>
      </c>
      <c r="G16" s="507">
        <f>SUM(O38:Q38)</f>
        <v>866</v>
      </c>
      <c r="H16" s="507">
        <f>R38</f>
        <v>806</v>
      </c>
      <c r="I16" s="507">
        <f>S38</f>
        <v>378</v>
      </c>
      <c r="J16" s="507">
        <f>SUM(T38:U38)</f>
        <v>364</v>
      </c>
      <c r="K16" s="508">
        <f>SUM(B16:J16)</f>
        <v>3931</v>
      </c>
    </row>
    <row r="17" spans="1:21" s="22" customFormat="1" ht="18.75" customHeight="1" x14ac:dyDescent="0.15">
      <c r="A17" s="723"/>
      <c r="B17" s="512">
        <f>B16/B$22</f>
        <v>0.2628099173553719</v>
      </c>
      <c r="C17" s="512">
        <f t="shared" ref="C17:K17" si="6">C16/C$22</f>
        <v>0.24641148325358853</v>
      </c>
      <c r="D17" s="512">
        <f t="shared" si="6"/>
        <v>0.24373576309794989</v>
      </c>
      <c r="E17" s="512">
        <f t="shared" si="6"/>
        <v>0.24851569126378287</v>
      </c>
      <c r="F17" s="512">
        <f t="shared" si="6"/>
        <v>0.26926829268292685</v>
      </c>
      <c r="G17" s="512">
        <f t="shared" si="6"/>
        <v>0.26605222734254991</v>
      </c>
      <c r="H17" s="512">
        <f t="shared" si="6"/>
        <v>0.25322023248507697</v>
      </c>
      <c r="I17" s="512">
        <f t="shared" si="6"/>
        <v>0.24705882352941178</v>
      </c>
      <c r="J17" s="512">
        <f t="shared" si="6"/>
        <v>0.28000000000000003</v>
      </c>
      <c r="K17" s="512">
        <f t="shared" si="6"/>
        <v>0.25771979282764046</v>
      </c>
    </row>
    <row r="18" spans="1:21" s="22" customFormat="1" ht="18.75" customHeight="1" x14ac:dyDescent="0.15">
      <c r="A18" s="721" t="s">
        <v>9</v>
      </c>
      <c r="B18" s="507">
        <f>SUM(B39:D39)</f>
        <v>249</v>
      </c>
      <c r="C18" s="507">
        <f>SUM(E39:F39)</f>
        <v>329</v>
      </c>
      <c r="D18" s="507">
        <f>SUM(G39:J39)</f>
        <v>227</v>
      </c>
      <c r="E18" s="507">
        <f>SUM(K39:L39)</f>
        <v>160</v>
      </c>
      <c r="F18" s="507">
        <f>SUM(M39:N39)</f>
        <v>180</v>
      </c>
      <c r="G18" s="507">
        <f>SUM(O39:Q39)</f>
        <v>880</v>
      </c>
      <c r="H18" s="507">
        <f>R39</f>
        <v>554</v>
      </c>
      <c r="I18" s="507">
        <f>S39</f>
        <v>340</v>
      </c>
      <c r="J18" s="507">
        <f>SUM(T39:U39)</f>
        <v>229</v>
      </c>
      <c r="K18" s="508">
        <f>SUM(B18:J18)</f>
        <v>3148</v>
      </c>
    </row>
    <row r="19" spans="1:21" s="22" customFormat="1" ht="18.75" customHeight="1" x14ac:dyDescent="0.15">
      <c r="A19" s="723"/>
      <c r="B19" s="512">
        <f>B18/B$22</f>
        <v>0.20578512396694215</v>
      </c>
      <c r="C19" s="512">
        <f t="shared" ref="C19:K19" si="7">C18/C$22</f>
        <v>0.26236044657097291</v>
      </c>
      <c r="D19" s="512">
        <f t="shared" si="7"/>
        <v>0.17236142748671224</v>
      </c>
      <c r="E19" s="512">
        <f t="shared" si="7"/>
        <v>0.13570822731128074</v>
      </c>
      <c r="F19" s="512">
        <f t="shared" si="7"/>
        <v>0.17560975609756097</v>
      </c>
      <c r="G19" s="512">
        <f t="shared" si="7"/>
        <v>0.27035330261136714</v>
      </c>
      <c r="H19" s="512">
        <f t="shared" si="7"/>
        <v>0.17404963870562362</v>
      </c>
      <c r="I19" s="512">
        <f t="shared" si="7"/>
        <v>0.22222222222222221</v>
      </c>
      <c r="J19" s="512">
        <f t="shared" si="7"/>
        <v>0.17615384615384616</v>
      </c>
      <c r="K19" s="512">
        <f t="shared" si="7"/>
        <v>0.20638562905657903</v>
      </c>
    </row>
    <row r="20" spans="1:21" s="22" customFormat="1" ht="18.75" customHeight="1" x14ac:dyDescent="0.15">
      <c r="A20" s="721" t="s">
        <v>10</v>
      </c>
      <c r="B20" s="507">
        <f>SUM(B40:D40)</f>
        <v>43</v>
      </c>
      <c r="C20" s="507">
        <f>SUM(E40:F40)</f>
        <v>79</v>
      </c>
      <c r="D20" s="507">
        <f>SUM(G40:J40)</f>
        <v>43</v>
      </c>
      <c r="E20" s="507">
        <f>SUM(K40:L40)</f>
        <v>30</v>
      </c>
      <c r="F20" s="507">
        <f>SUM(M40:N40)</f>
        <v>45</v>
      </c>
      <c r="G20" s="507">
        <f>SUM(O40:Q40)</f>
        <v>293</v>
      </c>
      <c r="H20" s="507">
        <f>R40</f>
        <v>68</v>
      </c>
      <c r="I20" s="507">
        <f>S40</f>
        <v>53</v>
      </c>
      <c r="J20" s="507">
        <f>SUM(T40:U40)</f>
        <v>54</v>
      </c>
      <c r="K20" s="508">
        <f>SUM(B20:J20)</f>
        <v>708</v>
      </c>
    </row>
    <row r="21" spans="1:21" s="22" customFormat="1" ht="18.75" customHeight="1" x14ac:dyDescent="0.15">
      <c r="A21" s="723"/>
      <c r="B21" s="512">
        <f>B20/B$22</f>
        <v>3.553719008264463E-2</v>
      </c>
      <c r="C21" s="512">
        <f t="shared" ref="C21:K21" si="8">C20/C$22</f>
        <v>6.2998405103668262E-2</v>
      </c>
      <c r="D21" s="512">
        <f t="shared" si="8"/>
        <v>3.2649962034927864E-2</v>
      </c>
      <c r="E21" s="512">
        <f t="shared" si="8"/>
        <v>2.5445292620865138E-2</v>
      </c>
      <c r="F21" s="512">
        <f t="shared" si="8"/>
        <v>4.3902439024390241E-2</v>
      </c>
      <c r="G21" s="512">
        <f t="shared" si="8"/>
        <v>9.0015360983102921E-2</v>
      </c>
      <c r="H21" s="512">
        <f t="shared" si="8"/>
        <v>2.136349355953503E-2</v>
      </c>
      <c r="I21" s="512">
        <f t="shared" si="8"/>
        <v>3.4640522875816995E-2</v>
      </c>
      <c r="J21" s="512">
        <f t="shared" si="8"/>
        <v>4.1538461538461538E-2</v>
      </c>
      <c r="K21" s="512">
        <f t="shared" si="8"/>
        <v>4.6417098275749032E-2</v>
      </c>
    </row>
    <row r="22" spans="1:21" s="22" customFormat="1" ht="18.75" customHeight="1" x14ac:dyDescent="0.15">
      <c r="A22" s="536" t="s">
        <v>11</v>
      </c>
      <c r="B22" s="513">
        <f>SUM(B4,B6,B8,B10,B12,B14,B16,B18,B20)</f>
        <v>1210</v>
      </c>
      <c r="C22" s="513">
        <f t="shared" ref="C22:K23" si="9">SUM(C4,C6,C8,C10,C12,C14,C16,C18,C20)</f>
        <v>1254</v>
      </c>
      <c r="D22" s="513">
        <f t="shared" si="9"/>
        <v>1317</v>
      </c>
      <c r="E22" s="513">
        <f t="shared" si="9"/>
        <v>1179</v>
      </c>
      <c r="F22" s="513">
        <f t="shared" si="9"/>
        <v>1025</v>
      </c>
      <c r="G22" s="513">
        <f t="shared" si="9"/>
        <v>3255</v>
      </c>
      <c r="H22" s="513">
        <f t="shared" si="9"/>
        <v>3183</v>
      </c>
      <c r="I22" s="513">
        <f t="shared" si="9"/>
        <v>1530</v>
      </c>
      <c r="J22" s="513">
        <f t="shared" si="9"/>
        <v>1300</v>
      </c>
      <c r="K22" s="514">
        <f>SUM(B22:J22)</f>
        <v>15253</v>
      </c>
    </row>
    <row r="23" spans="1:21" s="22" customFormat="1" ht="18.75" customHeight="1" x14ac:dyDescent="0.15">
      <c r="A23" s="537"/>
      <c r="B23" s="515">
        <f>SUM(B5,B7,B9,B11,B13,B15,B17,B19,B21)</f>
        <v>1</v>
      </c>
      <c r="C23" s="515">
        <f t="shared" si="9"/>
        <v>1</v>
      </c>
      <c r="D23" s="515">
        <f t="shared" si="9"/>
        <v>1</v>
      </c>
      <c r="E23" s="515">
        <f t="shared" si="9"/>
        <v>1</v>
      </c>
      <c r="F23" s="515">
        <f t="shared" si="9"/>
        <v>1</v>
      </c>
      <c r="G23" s="515">
        <f t="shared" si="9"/>
        <v>1</v>
      </c>
      <c r="H23" s="515">
        <f t="shared" si="9"/>
        <v>1</v>
      </c>
      <c r="I23" s="515">
        <f t="shared" si="9"/>
        <v>1</v>
      </c>
      <c r="J23" s="515">
        <f t="shared" si="9"/>
        <v>1</v>
      </c>
      <c r="K23" s="515">
        <f t="shared" si="9"/>
        <v>1</v>
      </c>
    </row>
    <row r="24" spans="1:21" ht="18.75" customHeight="1" x14ac:dyDescent="0.15">
      <c r="A24" s="740" t="s">
        <v>90</v>
      </c>
      <c r="B24" s="508">
        <f>B22-B26</f>
        <v>497</v>
      </c>
      <c r="C24" s="508">
        <f t="shared" ref="C24:J24" si="10">C22-C26</f>
        <v>428</v>
      </c>
      <c r="D24" s="508">
        <f t="shared" si="10"/>
        <v>613</v>
      </c>
      <c r="E24" s="508">
        <f t="shared" si="10"/>
        <v>568</v>
      </c>
      <c r="F24" s="508">
        <f t="shared" si="10"/>
        <v>440</v>
      </c>
      <c r="G24" s="508">
        <f t="shared" si="10"/>
        <v>945</v>
      </c>
      <c r="H24" s="508">
        <f t="shared" si="10"/>
        <v>1436</v>
      </c>
      <c r="I24" s="508">
        <f t="shared" si="10"/>
        <v>615</v>
      </c>
      <c r="J24" s="508">
        <f t="shared" si="10"/>
        <v>516</v>
      </c>
      <c r="K24" s="508">
        <f>SUM(B24:J24)</f>
        <v>6058</v>
      </c>
    </row>
    <row r="25" spans="1:21" ht="18.75" customHeight="1" x14ac:dyDescent="0.15">
      <c r="A25" s="741"/>
      <c r="B25" s="516">
        <f>B24/B$22</f>
        <v>0.41074380165289254</v>
      </c>
      <c r="C25" s="516">
        <f t="shared" ref="C25:K25" si="11">C24/C$22</f>
        <v>0.3413078149920255</v>
      </c>
      <c r="D25" s="516">
        <f t="shared" si="11"/>
        <v>0.4654517843583903</v>
      </c>
      <c r="E25" s="516">
        <f t="shared" si="11"/>
        <v>0.48176420695504663</v>
      </c>
      <c r="F25" s="516">
        <f t="shared" si="11"/>
        <v>0.42926829268292682</v>
      </c>
      <c r="G25" s="516">
        <f t="shared" si="11"/>
        <v>0.29032258064516131</v>
      </c>
      <c r="H25" s="516">
        <f t="shared" si="11"/>
        <v>0.45114671693371033</v>
      </c>
      <c r="I25" s="516">
        <f t="shared" si="11"/>
        <v>0.40196078431372551</v>
      </c>
      <c r="J25" s="516">
        <f t="shared" si="11"/>
        <v>0.39692307692307693</v>
      </c>
      <c r="K25" s="516">
        <f t="shared" si="11"/>
        <v>0.39716777027470007</v>
      </c>
    </row>
    <row r="26" spans="1:21" ht="18.75" customHeight="1" x14ac:dyDescent="0.15">
      <c r="A26" s="740" t="s">
        <v>91</v>
      </c>
      <c r="B26" s="507">
        <f>SUM(B42:D42)</f>
        <v>713</v>
      </c>
      <c r="C26" s="507">
        <f>SUM(E42:F42)</f>
        <v>826</v>
      </c>
      <c r="D26" s="507">
        <f>SUM(G42:J42)</f>
        <v>704</v>
      </c>
      <c r="E26" s="507">
        <f>SUM(K42:L42)</f>
        <v>611</v>
      </c>
      <c r="F26" s="507">
        <f>SUM(M42:N42)</f>
        <v>585</v>
      </c>
      <c r="G26" s="507">
        <f>SUM(O42:Q42)</f>
        <v>2310</v>
      </c>
      <c r="H26" s="507">
        <f>R42</f>
        <v>1747</v>
      </c>
      <c r="I26" s="507">
        <f>S42</f>
        <v>915</v>
      </c>
      <c r="J26" s="507">
        <f>SUM(T42:U42)</f>
        <v>784</v>
      </c>
      <c r="K26" s="508">
        <f>SUM(B26:J26)</f>
        <v>9195</v>
      </c>
    </row>
    <row r="27" spans="1:21" ht="18.75" customHeight="1" x14ac:dyDescent="0.15">
      <c r="A27" s="741"/>
      <c r="B27" s="516">
        <f>B26/B$22</f>
        <v>0.58925619834710741</v>
      </c>
      <c r="C27" s="516">
        <f t="shared" ref="C27:K27" si="12">C26/C$22</f>
        <v>0.65869218500797444</v>
      </c>
      <c r="D27" s="516">
        <f t="shared" si="12"/>
        <v>0.5345482156416097</v>
      </c>
      <c r="E27" s="516">
        <f t="shared" si="12"/>
        <v>0.51823579304495337</v>
      </c>
      <c r="F27" s="516">
        <f t="shared" si="12"/>
        <v>0.57073170731707312</v>
      </c>
      <c r="G27" s="516">
        <f t="shared" si="12"/>
        <v>0.70967741935483875</v>
      </c>
      <c r="H27" s="516">
        <f t="shared" si="12"/>
        <v>0.54885328306628967</v>
      </c>
      <c r="I27" s="516">
        <f t="shared" si="12"/>
        <v>0.59803921568627449</v>
      </c>
      <c r="J27" s="516">
        <f t="shared" si="12"/>
        <v>0.60307692307692307</v>
      </c>
      <c r="K27" s="516">
        <f t="shared" si="12"/>
        <v>0.60283222972529993</v>
      </c>
    </row>
    <row r="29" spans="1:21" hidden="1" x14ac:dyDescent="0.15">
      <c r="A29" s="54"/>
    </row>
    <row r="30" spans="1:21" hidden="1" x14ac:dyDescent="0.15"/>
    <row r="31" spans="1:21" hidden="1" x14ac:dyDescent="0.15">
      <c r="A31" s="538" t="s">
        <v>370</v>
      </c>
      <c r="B31" s="538" t="s">
        <v>384</v>
      </c>
      <c r="C31" s="538" t="s">
        <v>385</v>
      </c>
      <c r="D31" s="538" t="s">
        <v>386</v>
      </c>
      <c r="E31" s="538" t="s">
        <v>387</v>
      </c>
      <c r="F31" s="538" t="s">
        <v>388</v>
      </c>
      <c r="G31" s="538" t="s">
        <v>389</v>
      </c>
      <c r="H31" s="538" t="s">
        <v>390</v>
      </c>
      <c r="I31" s="538" t="s">
        <v>391</v>
      </c>
      <c r="J31" s="538" t="s">
        <v>392</v>
      </c>
      <c r="K31" s="538" t="s">
        <v>393</v>
      </c>
      <c r="L31" s="538" t="s">
        <v>394</v>
      </c>
      <c r="M31" s="538" t="s">
        <v>395</v>
      </c>
      <c r="N31" s="538" t="s">
        <v>396</v>
      </c>
      <c r="O31" s="538" t="s">
        <v>397</v>
      </c>
      <c r="P31" s="538" t="s">
        <v>398</v>
      </c>
      <c r="Q31" s="538" t="s">
        <v>399</v>
      </c>
      <c r="R31" s="538" t="s">
        <v>400</v>
      </c>
      <c r="S31" s="538" t="s">
        <v>401</v>
      </c>
      <c r="T31" s="538" t="s">
        <v>464</v>
      </c>
      <c r="U31" s="55" t="s">
        <v>591</v>
      </c>
    </row>
    <row r="32" spans="1:21" hidden="1" x14ac:dyDescent="0.15">
      <c r="A32" s="34" t="s">
        <v>2</v>
      </c>
      <c r="B32" s="23">
        <v>3</v>
      </c>
      <c r="C32" s="23">
        <v>5</v>
      </c>
      <c r="D32" s="23">
        <v>5</v>
      </c>
      <c r="E32" s="23">
        <v>4</v>
      </c>
      <c r="F32" s="23">
        <v>4</v>
      </c>
      <c r="G32" s="23">
        <v>8</v>
      </c>
      <c r="H32" s="23">
        <v>4</v>
      </c>
      <c r="I32" s="23">
        <v>3</v>
      </c>
      <c r="J32" s="23">
        <v>6</v>
      </c>
      <c r="K32" s="23">
        <v>10</v>
      </c>
      <c r="L32" s="23">
        <v>4</v>
      </c>
      <c r="M32" s="23">
        <v>7</v>
      </c>
      <c r="N32" s="23">
        <v>5</v>
      </c>
      <c r="O32" s="23">
        <v>4</v>
      </c>
      <c r="P32" s="23">
        <v>5</v>
      </c>
      <c r="Q32" s="23">
        <v>3</v>
      </c>
      <c r="R32" s="23">
        <v>35</v>
      </c>
      <c r="S32" s="23">
        <v>25</v>
      </c>
      <c r="T32" s="23">
        <v>12</v>
      </c>
      <c r="U32" s="23"/>
    </row>
    <row r="33" spans="1:21" hidden="1" x14ac:dyDescent="0.15">
      <c r="A33" s="34" t="s">
        <v>3</v>
      </c>
      <c r="B33" s="23">
        <v>6</v>
      </c>
      <c r="C33" s="23">
        <v>6</v>
      </c>
      <c r="D33" s="23">
        <v>11</v>
      </c>
      <c r="E33" s="23">
        <v>10</v>
      </c>
      <c r="F33" s="23">
        <v>8</v>
      </c>
      <c r="G33" s="23">
        <v>9</v>
      </c>
      <c r="H33" s="23">
        <v>6</v>
      </c>
      <c r="I33" s="23">
        <v>7</v>
      </c>
      <c r="J33" s="23">
        <v>1</v>
      </c>
      <c r="K33" s="23">
        <v>13</v>
      </c>
      <c r="L33" s="23">
        <v>10</v>
      </c>
      <c r="M33" s="23">
        <v>10</v>
      </c>
      <c r="N33" s="23">
        <v>9</v>
      </c>
      <c r="O33" s="23">
        <v>12</v>
      </c>
      <c r="P33" s="23">
        <v>14</v>
      </c>
      <c r="Q33" s="23">
        <v>10</v>
      </c>
      <c r="R33" s="23">
        <v>74</v>
      </c>
      <c r="S33" s="23">
        <v>39</v>
      </c>
      <c r="T33" s="23">
        <v>21</v>
      </c>
      <c r="U33" s="23">
        <v>1</v>
      </c>
    </row>
    <row r="34" spans="1:21" hidden="1" x14ac:dyDescent="0.15">
      <c r="A34" s="34" t="s">
        <v>4</v>
      </c>
      <c r="B34" s="23">
        <v>8</v>
      </c>
      <c r="C34" s="23">
        <v>25</v>
      </c>
      <c r="D34" s="23">
        <v>23</v>
      </c>
      <c r="E34" s="23">
        <v>20</v>
      </c>
      <c r="F34" s="23">
        <v>29</v>
      </c>
      <c r="G34" s="23">
        <v>16</v>
      </c>
      <c r="H34" s="23">
        <v>13</v>
      </c>
      <c r="I34" s="23">
        <v>14</v>
      </c>
      <c r="J34" s="23">
        <v>11</v>
      </c>
      <c r="K34" s="23">
        <v>30</v>
      </c>
      <c r="L34" s="23">
        <v>23</v>
      </c>
      <c r="M34" s="23">
        <v>18</v>
      </c>
      <c r="N34" s="23">
        <v>24</v>
      </c>
      <c r="O34" s="23">
        <v>23</v>
      </c>
      <c r="P34" s="23">
        <v>35</v>
      </c>
      <c r="Q34" s="23">
        <v>29</v>
      </c>
      <c r="R34" s="23">
        <v>150</v>
      </c>
      <c r="S34" s="23">
        <v>46</v>
      </c>
      <c r="T34" s="23">
        <v>47</v>
      </c>
      <c r="U34" s="23">
        <v>9</v>
      </c>
    </row>
    <row r="35" spans="1:21" hidden="1" x14ac:dyDescent="0.15">
      <c r="A35" s="34" t="s">
        <v>5</v>
      </c>
      <c r="B35" s="23">
        <v>30</v>
      </c>
      <c r="C35" s="23">
        <v>39</v>
      </c>
      <c r="D35" s="23">
        <v>46</v>
      </c>
      <c r="E35" s="23">
        <v>57</v>
      </c>
      <c r="F35" s="23">
        <v>39</v>
      </c>
      <c r="G35" s="23">
        <v>59</v>
      </c>
      <c r="H35" s="23">
        <v>40</v>
      </c>
      <c r="I35" s="23">
        <v>45</v>
      </c>
      <c r="J35" s="23">
        <v>29</v>
      </c>
      <c r="K35" s="23">
        <v>77</v>
      </c>
      <c r="L35" s="23">
        <v>53</v>
      </c>
      <c r="M35" s="23">
        <v>41</v>
      </c>
      <c r="N35" s="23">
        <v>58</v>
      </c>
      <c r="O35" s="23">
        <v>61</v>
      </c>
      <c r="P35" s="23">
        <v>79</v>
      </c>
      <c r="Q35" s="23">
        <v>65</v>
      </c>
      <c r="R35" s="23">
        <v>329</v>
      </c>
      <c r="S35" s="23">
        <v>155</v>
      </c>
      <c r="T35" s="23">
        <v>92</v>
      </c>
      <c r="U35" s="23">
        <v>10</v>
      </c>
    </row>
    <row r="36" spans="1:21" hidden="1" x14ac:dyDescent="0.15">
      <c r="A36" s="34" t="s">
        <v>6</v>
      </c>
      <c r="B36" s="23">
        <v>42</v>
      </c>
      <c r="C36" s="23">
        <v>75</v>
      </c>
      <c r="D36" s="23">
        <v>70</v>
      </c>
      <c r="E36" s="23">
        <v>95</v>
      </c>
      <c r="F36" s="23">
        <v>82</v>
      </c>
      <c r="G36" s="23">
        <v>82</v>
      </c>
      <c r="H36" s="23">
        <v>64</v>
      </c>
      <c r="I36" s="23">
        <v>62</v>
      </c>
      <c r="J36" s="23">
        <v>49</v>
      </c>
      <c r="K36" s="23">
        <v>151</v>
      </c>
      <c r="L36" s="23">
        <v>90</v>
      </c>
      <c r="M36" s="23">
        <v>74</v>
      </c>
      <c r="N36" s="23">
        <v>101</v>
      </c>
      <c r="O36" s="23">
        <v>119</v>
      </c>
      <c r="P36" s="23">
        <v>160</v>
      </c>
      <c r="Q36" s="23">
        <v>110</v>
      </c>
      <c r="R36" s="23">
        <v>558</v>
      </c>
      <c r="S36" s="23">
        <v>236</v>
      </c>
      <c r="T36" s="23">
        <v>183</v>
      </c>
      <c r="U36" s="23">
        <v>21</v>
      </c>
    </row>
    <row r="37" spans="1:21" hidden="1" x14ac:dyDescent="0.15">
      <c r="A37" s="34" t="s">
        <v>7</v>
      </c>
      <c r="B37" s="23">
        <v>64</v>
      </c>
      <c r="C37" s="23">
        <v>74</v>
      </c>
      <c r="D37" s="23">
        <v>68</v>
      </c>
      <c r="E37" s="23">
        <v>111</v>
      </c>
      <c r="F37" s="23">
        <v>78</v>
      </c>
      <c r="G37" s="23">
        <v>66</v>
      </c>
      <c r="H37" s="23">
        <v>34</v>
      </c>
      <c r="I37" s="23">
        <v>55</v>
      </c>
      <c r="J37" s="23">
        <v>43</v>
      </c>
      <c r="K37" s="23">
        <v>141</v>
      </c>
      <c r="L37" s="23">
        <v>94</v>
      </c>
      <c r="M37" s="23">
        <v>75</v>
      </c>
      <c r="N37" s="23">
        <v>102</v>
      </c>
      <c r="O37" s="23">
        <v>149</v>
      </c>
      <c r="P37" s="23">
        <v>202</v>
      </c>
      <c r="Q37" s="23">
        <v>136</v>
      </c>
      <c r="R37" s="23">
        <v>609</v>
      </c>
      <c r="S37" s="23">
        <v>258</v>
      </c>
      <c r="T37" s="23">
        <v>235</v>
      </c>
      <c r="U37" s="23">
        <v>22</v>
      </c>
    </row>
    <row r="38" spans="1:21" hidden="1" x14ac:dyDescent="0.15">
      <c r="A38" s="34" t="s">
        <v>8</v>
      </c>
      <c r="B38" s="23">
        <v>90</v>
      </c>
      <c r="C38" s="23">
        <v>113</v>
      </c>
      <c r="D38" s="23">
        <v>115</v>
      </c>
      <c r="E38" s="23">
        <v>158</v>
      </c>
      <c r="F38" s="23">
        <v>151</v>
      </c>
      <c r="G38" s="23">
        <v>101</v>
      </c>
      <c r="H38" s="23">
        <v>62</v>
      </c>
      <c r="I38" s="23">
        <v>87</v>
      </c>
      <c r="J38" s="23">
        <v>71</v>
      </c>
      <c r="K38" s="23">
        <v>186</v>
      </c>
      <c r="L38" s="23">
        <v>107</v>
      </c>
      <c r="M38" s="23">
        <v>139</v>
      </c>
      <c r="N38" s="23">
        <v>137</v>
      </c>
      <c r="O38" s="23">
        <v>255</v>
      </c>
      <c r="P38" s="23">
        <v>346</v>
      </c>
      <c r="Q38" s="23">
        <v>265</v>
      </c>
      <c r="R38" s="23">
        <v>806</v>
      </c>
      <c r="S38" s="23">
        <v>378</v>
      </c>
      <c r="T38" s="23">
        <v>333</v>
      </c>
      <c r="U38" s="23">
        <v>31</v>
      </c>
    </row>
    <row r="39" spans="1:21" hidden="1" x14ac:dyDescent="0.15">
      <c r="A39" s="34" t="s">
        <v>9</v>
      </c>
      <c r="B39" s="23">
        <v>81</v>
      </c>
      <c r="C39" s="23">
        <v>94</v>
      </c>
      <c r="D39" s="23">
        <v>74</v>
      </c>
      <c r="E39" s="23">
        <v>197</v>
      </c>
      <c r="F39" s="23">
        <v>132</v>
      </c>
      <c r="G39" s="23">
        <v>64</v>
      </c>
      <c r="H39" s="23">
        <v>40</v>
      </c>
      <c r="I39" s="23">
        <v>65</v>
      </c>
      <c r="J39" s="23">
        <v>58</v>
      </c>
      <c r="K39" s="23">
        <v>94</v>
      </c>
      <c r="L39" s="23">
        <v>66</v>
      </c>
      <c r="M39" s="23">
        <v>99</v>
      </c>
      <c r="N39" s="23">
        <v>81</v>
      </c>
      <c r="O39" s="23">
        <v>230</v>
      </c>
      <c r="P39" s="23">
        <v>352</v>
      </c>
      <c r="Q39" s="23">
        <v>298</v>
      </c>
      <c r="R39" s="23">
        <v>554</v>
      </c>
      <c r="S39" s="23">
        <v>340</v>
      </c>
      <c r="T39" s="23">
        <v>215</v>
      </c>
      <c r="U39" s="23">
        <v>14</v>
      </c>
    </row>
    <row r="40" spans="1:21" hidden="1" x14ac:dyDescent="0.15">
      <c r="A40" s="34" t="s">
        <v>10</v>
      </c>
      <c r="B40" s="23">
        <v>11</v>
      </c>
      <c r="C40" s="23">
        <v>14</v>
      </c>
      <c r="D40" s="23">
        <v>18</v>
      </c>
      <c r="E40" s="23">
        <v>43</v>
      </c>
      <c r="F40" s="23">
        <v>36</v>
      </c>
      <c r="G40" s="23">
        <v>21</v>
      </c>
      <c r="H40" s="23">
        <v>9</v>
      </c>
      <c r="I40" s="23">
        <v>6</v>
      </c>
      <c r="J40" s="23">
        <v>7</v>
      </c>
      <c r="K40" s="23">
        <v>16</v>
      </c>
      <c r="L40" s="23">
        <v>14</v>
      </c>
      <c r="M40" s="23">
        <v>22</v>
      </c>
      <c r="N40" s="23">
        <v>23</v>
      </c>
      <c r="O40" s="23">
        <v>68</v>
      </c>
      <c r="P40" s="23">
        <v>132</v>
      </c>
      <c r="Q40" s="23">
        <v>93</v>
      </c>
      <c r="R40" s="23">
        <v>68</v>
      </c>
      <c r="S40" s="23">
        <v>53</v>
      </c>
      <c r="T40" s="23">
        <v>54</v>
      </c>
      <c r="U40" s="23"/>
    </row>
    <row r="41" spans="1:21" hidden="1" x14ac:dyDescent="0.15">
      <c r="A41" s="377"/>
      <c r="B41" s="377" t="s">
        <v>384</v>
      </c>
      <c r="C41" s="377" t="s">
        <v>385</v>
      </c>
      <c r="D41" s="377" t="s">
        <v>386</v>
      </c>
      <c r="E41" s="377" t="s">
        <v>387</v>
      </c>
      <c r="F41" s="377" t="s">
        <v>388</v>
      </c>
      <c r="G41" s="377" t="s">
        <v>389</v>
      </c>
      <c r="H41" s="377" t="s">
        <v>390</v>
      </c>
      <c r="I41" s="377" t="s">
        <v>391</v>
      </c>
      <c r="J41" s="377" t="s">
        <v>392</v>
      </c>
      <c r="K41" s="377" t="s">
        <v>393</v>
      </c>
      <c r="L41" s="377" t="s">
        <v>394</v>
      </c>
      <c r="M41" s="377" t="s">
        <v>395</v>
      </c>
      <c r="N41" s="377" t="s">
        <v>396</v>
      </c>
      <c r="O41" s="377" t="s">
        <v>397</v>
      </c>
      <c r="P41" s="377" t="s">
        <v>398</v>
      </c>
      <c r="Q41" s="377" t="s">
        <v>399</v>
      </c>
      <c r="R41" s="377" t="s">
        <v>400</v>
      </c>
      <c r="S41" s="377" t="s">
        <v>401</v>
      </c>
      <c r="T41" s="377" t="s">
        <v>464</v>
      </c>
      <c r="U41" s="43" t="s">
        <v>465</v>
      </c>
    </row>
    <row r="42" spans="1:21" hidden="1" x14ac:dyDescent="0.15">
      <c r="A42" s="34" t="s">
        <v>91</v>
      </c>
      <c r="B42" s="539">
        <v>211</v>
      </c>
      <c r="C42" s="539">
        <v>262</v>
      </c>
      <c r="D42" s="539">
        <v>240</v>
      </c>
      <c r="E42" s="539">
        <v>461</v>
      </c>
      <c r="F42" s="539">
        <v>365</v>
      </c>
      <c r="G42" s="539">
        <v>222</v>
      </c>
      <c r="H42" s="539">
        <v>127</v>
      </c>
      <c r="I42" s="539">
        <v>191</v>
      </c>
      <c r="J42" s="539">
        <v>164</v>
      </c>
      <c r="K42" s="539">
        <v>372</v>
      </c>
      <c r="L42" s="539">
        <v>239</v>
      </c>
      <c r="M42" s="539">
        <v>299</v>
      </c>
      <c r="N42" s="539">
        <v>286</v>
      </c>
      <c r="O42" s="539">
        <v>643</v>
      </c>
      <c r="P42" s="539">
        <v>936</v>
      </c>
      <c r="Q42" s="539">
        <v>731</v>
      </c>
      <c r="R42" s="539">
        <v>1747</v>
      </c>
      <c r="S42" s="539">
        <v>915</v>
      </c>
      <c r="T42" s="539">
        <v>729</v>
      </c>
      <c r="U42" s="539">
        <v>55</v>
      </c>
    </row>
    <row r="43" spans="1:21" hidden="1" x14ac:dyDescent="0.15"/>
    <row r="44" spans="1:21" hidden="1" x14ac:dyDescent="0.15"/>
  </sheetData>
  <mergeCells count="11">
    <mergeCell ref="A14:A15"/>
    <mergeCell ref="A4:A5"/>
    <mergeCell ref="A6:A7"/>
    <mergeCell ref="A8:A9"/>
    <mergeCell ref="A10:A11"/>
    <mergeCell ref="A12:A13"/>
    <mergeCell ref="A16:A17"/>
    <mergeCell ref="A18:A19"/>
    <mergeCell ref="A20:A21"/>
    <mergeCell ref="A24:A25"/>
    <mergeCell ref="A26:A27"/>
  </mergeCells>
  <phoneticPr fontId="2"/>
  <printOptions horizontalCentered="1"/>
  <pageMargins left="0.70866141732283472" right="0.70866141732283472" top="0.74803149606299213" bottom="0.74803149606299213" header="0.31496062992125984" footer="0.31496062992125984"/>
  <pageSetup paperSize="9" scale="81" orientation="portrait" r:id="rId1"/>
  <ignoredErrors>
    <ignoredError sqref="B4:K4 B21:K21" formulaRange="1"/>
    <ignoredError sqref="B5:K20 B26:K26" formula="1" formulaRange="1"/>
    <ignoredError sqref="B25:K2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3010" r:id="rId4" name="Button 2">
              <controlPr defaultSize="0" print="0" autoFill="0" autoPict="0" macro="[0]!データ削除31">
                <anchor moveWithCells="1" sizeWithCells="1">
                  <from>
                    <xdr:col>12</xdr:col>
                    <xdr:colOff>590550</xdr:colOff>
                    <xdr:row>25</xdr:row>
                    <xdr:rowOff>123825</xdr:rowOff>
                  </from>
                  <to>
                    <xdr:col>15</xdr:col>
                    <xdr:colOff>447675</xdr:colOff>
                    <xdr:row>27</xdr:row>
                    <xdr:rowOff>142875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tabColor theme="5" tint="0.39997558519241921"/>
    <pageSetUpPr fitToPage="1"/>
  </sheetPr>
  <dimension ref="A1:U31"/>
  <sheetViews>
    <sheetView showGridLines="0" zoomScale="80" zoomScaleNormal="80" zoomScaleSheetLayoutView="100" workbookViewId="0">
      <selection activeCell="I13" sqref="I13"/>
    </sheetView>
  </sheetViews>
  <sheetFormatPr defaultColWidth="13.75" defaultRowHeight="18.75" x14ac:dyDescent="0.15"/>
  <cols>
    <col min="1" max="1" width="13.75" style="1" customWidth="1"/>
    <col min="2" max="11" width="8.625" style="1" customWidth="1"/>
    <col min="12" max="12" width="7.625" style="1" customWidth="1"/>
    <col min="13" max="17" width="7.625" style="1" hidden="1" customWidth="1"/>
    <col min="18" max="19" width="7.625" style="1" customWidth="1"/>
    <col min="20" max="21" width="7.5" style="1" customWidth="1"/>
    <col min="22" max="16384" width="13.75" style="1"/>
  </cols>
  <sheetData>
    <row r="1" spans="1:11" s="3" customFormat="1" ht="19.5" x14ac:dyDescent="0.15">
      <c r="A1" s="2" t="s">
        <v>466</v>
      </c>
    </row>
    <row r="2" spans="1:11" x14ac:dyDescent="0.15">
      <c r="A2" s="4"/>
    </row>
    <row r="3" spans="1:11" ht="37.5" x14ac:dyDescent="0.15">
      <c r="A3" s="506"/>
      <c r="B3" s="506" t="s">
        <v>376</v>
      </c>
      <c r="C3" s="506" t="s">
        <v>377</v>
      </c>
      <c r="D3" s="506" t="s">
        <v>378</v>
      </c>
      <c r="E3" s="506" t="s">
        <v>379</v>
      </c>
      <c r="F3" s="506" t="s">
        <v>380</v>
      </c>
      <c r="G3" s="506" t="s">
        <v>381</v>
      </c>
      <c r="H3" s="506" t="s">
        <v>382</v>
      </c>
      <c r="I3" s="506" t="s">
        <v>383</v>
      </c>
      <c r="J3" s="535" t="s">
        <v>463</v>
      </c>
      <c r="K3" s="506" t="s">
        <v>62</v>
      </c>
    </row>
    <row r="4" spans="1:11" s="22" customFormat="1" ht="18.75" customHeight="1" x14ac:dyDescent="0.15">
      <c r="A4" s="517" t="s">
        <v>403</v>
      </c>
      <c r="B4" s="507">
        <f>SUM(B20:D20,B26:D26)</f>
        <v>4</v>
      </c>
      <c r="C4" s="507">
        <f>SUM(E20:F20,E26:F26)</f>
        <v>3</v>
      </c>
      <c r="D4" s="507">
        <f>SUM(G20:J20,G26:J26)</f>
        <v>13</v>
      </c>
      <c r="E4" s="507">
        <f>SUM(K20:L20,K26:L26)</f>
        <v>10</v>
      </c>
      <c r="F4" s="507">
        <f>SUM(M20:N20,M26:N26)</f>
        <v>4</v>
      </c>
      <c r="G4" s="507">
        <f>SUM(O20:Q20,O26:Q26)</f>
        <v>10</v>
      </c>
      <c r="H4" s="507">
        <f>SUM(R20,R26)</f>
        <v>32</v>
      </c>
      <c r="I4" s="507">
        <f>SUM(S20,S26)</f>
        <v>7</v>
      </c>
      <c r="J4" s="507">
        <f>SUM(T20:U20,T26:U26)</f>
        <v>8</v>
      </c>
      <c r="K4" s="508">
        <f>SUM(B4:J4)</f>
        <v>91</v>
      </c>
    </row>
    <row r="5" spans="1:11" s="22" customFormat="1" ht="18.75" customHeight="1" x14ac:dyDescent="0.15">
      <c r="A5" s="519" t="s">
        <v>374</v>
      </c>
      <c r="B5" s="512">
        <f t="shared" ref="B5:J5" si="0">B4/B$14</f>
        <v>3.3057851239669421E-3</v>
      </c>
      <c r="C5" s="512">
        <f t="shared" si="0"/>
        <v>2.3923444976076554E-3</v>
      </c>
      <c r="D5" s="512">
        <f t="shared" si="0"/>
        <v>9.8709187547456334E-3</v>
      </c>
      <c r="E5" s="512">
        <f t="shared" si="0"/>
        <v>8.4817642069550461E-3</v>
      </c>
      <c r="F5" s="512">
        <f t="shared" si="0"/>
        <v>3.9024390243902439E-3</v>
      </c>
      <c r="G5" s="512">
        <f t="shared" si="0"/>
        <v>3.0721966205837174E-3</v>
      </c>
      <c r="H5" s="512">
        <f t="shared" si="0"/>
        <v>1.0053408733898837E-2</v>
      </c>
      <c r="I5" s="512">
        <f t="shared" si="0"/>
        <v>4.5751633986928107E-3</v>
      </c>
      <c r="J5" s="512">
        <f t="shared" si="0"/>
        <v>6.1538461538461538E-3</v>
      </c>
      <c r="K5" s="512">
        <f>K4/K$14</f>
        <v>5.9660394676457089E-3</v>
      </c>
    </row>
    <row r="6" spans="1:11" s="22" customFormat="1" ht="18.75" customHeight="1" x14ac:dyDescent="0.15">
      <c r="A6" s="721" t="s">
        <v>15</v>
      </c>
      <c r="B6" s="507">
        <f>SUM(B21:D21)</f>
        <v>681</v>
      </c>
      <c r="C6" s="507">
        <f>SUM(E21:F21)</f>
        <v>899</v>
      </c>
      <c r="D6" s="507">
        <f>SUM(G21:J21)</f>
        <v>814</v>
      </c>
      <c r="E6" s="507">
        <f>SUM(K21:L21)</f>
        <v>622</v>
      </c>
      <c r="F6" s="507">
        <f>SUM(M21:N21)</f>
        <v>544</v>
      </c>
      <c r="G6" s="507">
        <f>SUM(O21:Q21)</f>
        <v>1742</v>
      </c>
      <c r="H6" s="507">
        <f>R21</f>
        <v>1684</v>
      </c>
      <c r="I6" s="507">
        <f>S21</f>
        <v>872</v>
      </c>
      <c r="J6" s="507">
        <f>SUM(T21:U21)</f>
        <v>642</v>
      </c>
      <c r="K6" s="508">
        <f>SUM(B6:J6)</f>
        <v>8500</v>
      </c>
    </row>
    <row r="7" spans="1:11" s="22" customFormat="1" ht="18.75" customHeight="1" x14ac:dyDescent="0.15">
      <c r="A7" s="723"/>
      <c r="B7" s="512">
        <f t="shared" ref="B7:J7" si="1">B6/B$14</f>
        <v>0.56280991735537189</v>
      </c>
      <c r="C7" s="512">
        <f t="shared" si="1"/>
        <v>0.71690590111642738</v>
      </c>
      <c r="D7" s="512">
        <f t="shared" si="1"/>
        <v>0.61807137433561121</v>
      </c>
      <c r="E7" s="512">
        <f t="shared" si="1"/>
        <v>0.52756573367260395</v>
      </c>
      <c r="F7" s="512">
        <f t="shared" si="1"/>
        <v>0.5307317073170732</v>
      </c>
      <c r="G7" s="512">
        <f t="shared" si="1"/>
        <v>0.53517665130568359</v>
      </c>
      <c r="H7" s="512">
        <f t="shared" si="1"/>
        <v>0.52906063462142627</v>
      </c>
      <c r="I7" s="512">
        <f t="shared" si="1"/>
        <v>0.56993464052287579</v>
      </c>
      <c r="J7" s="512">
        <f t="shared" si="1"/>
        <v>0.49384615384615382</v>
      </c>
      <c r="K7" s="512">
        <f>K6/K$14</f>
        <v>0.55726742280207175</v>
      </c>
    </row>
    <row r="8" spans="1:11" s="22" customFormat="1" ht="18.75" customHeight="1" x14ac:dyDescent="0.15">
      <c r="A8" s="721" t="s">
        <v>16</v>
      </c>
      <c r="B8" s="507">
        <f>SUM(B22:D22)</f>
        <v>522</v>
      </c>
      <c r="C8" s="507">
        <f>SUM(E22:F22)</f>
        <v>351</v>
      </c>
      <c r="D8" s="507">
        <f>SUM(G22:J22)</f>
        <v>482</v>
      </c>
      <c r="E8" s="507">
        <f>SUM(K22:L22)</f>
        <v>541</v>
      </c>
      <c r="F8" s="507">
        <f>SUM(M22:N22)</f>
        <v>476</v>
      </c>
      <c r="G8" s="507">
        <f>SUM(O22:Q22)</f>
        <v>1502</v>
      </c>
      <c r="H8" s="507">
        <f>R22</f>
        <v>1454</v>
      </c>
      <c r="I8" s="507">
        <f>S22</f>
        <v>650</v>
      </c>
      <c r="J8" s="507">
        <f>SUM(T22:U22)</f>
        <v>644</v>
      </c>
      <c r="K8" s="508">
        <f>SUM(B8:J8)</f>
        <v>6622</v>
      </c>
    </row>
    <row r="9" spans="1:11" s="22" customFormat="1" ht="18.75" customHeight="1" x14ac:dyDescent="0.15">
      <c r="A9" s="723"/>
      <c r="B9" s="512">
        <f t="shared" ref="B9:J9" si="2">B8/B$14</f>
        <v>0.43140495867768597</v>
      </c>
      <c r="C9" s="512">
        <f t="shared" si="2"/>
        <v>0.27990430622009571</v>
      </c>
      <c r="D9" s="512">
        <f t="shared" si="2"/>
        <v>0.36598329536826119</v>
      </c>
      <c r="E9" s="512">
        <f t="shared" si="2"/>
        <v>0.45886344359626802</v>
      </c>
      <c r="F9" s="512">
        <f t="shared" si="2"/>
        <v>0.46439024390243905</v>
      </c>
      <c r="G9" s="512">
        <f t="shared" si="2"/>
        <v>0.46144393241167436</v>
      </c>
      <c r="H9" s="512">
        <f t="shared" si="2"/>
        <v>0.45680175934652845</v>
      </c>
      <c r="I9" s="512">
        <f t="shared" si="2"/>
        <v>0.42483660130718953</v>
      </c>
      <c r="J9" s="512">
        <f t="shared" si="2"/>
        <v>0.49538461538461537</v>
      </c>
      <c r="K9" s="512">
        <f>K8/K$14</f>
        <v>0.43414410279944932</v>
      </c>
    </row>
    <row r="10" spans="1:11" s="22" customFormat="1" ht="18.75" customHeight="1" x14ac:dyDescent="0.15">
      <c r="A10" s="721" t="s">
        <v>17</v>
      </c>
      <c r="B10" s="507">
        <f>SUM(B23:D23)</f>
        <v>0</v>
      </c>
      <c r="C10" s="507">
        <f>SUM(E23:F23)</f>
        <v>0</v>
      </c>
      <c r="D10" s="507">
        <f>SUM(G23:J23)</f>
        <v>0</v>
      </c>
      <c r="E10" s="507">
        <f>SUM(K23:L23)</f>
        <v>1</v>
      </c>
      <c r="F10" s="507">
        <f>SUM(M23:N23)</f>
        <v>0</v>
      </c>
      <c r="G10" s="507">
        <f>SUM(O23:Q23)</f>
        <v>0</v>
      </c>
      <c r="H10" s="507">
        <f>R23</f>
        <v>4</v>
      </c>
      <c r="I10" s="507">
        <f>S23</f>
        <v>0</v>
      </c>
      <c r="J10" s="507">
        <f>SUM(T23:U23)</f>
        <v>0</v>
      </c>
      <c r="K10" s="508">
        <f>SUM(B10:J10)</f>
        <v>5</v>
      </c>
    </row>
    <row r="11" spans="1:11" s="22" customFormat="1" ht="18.75" customHeight="1" x14ac:dyDescent="0.15">
      <c r="A11" s="723"/>
      <c r="B11" s="540">
        <f t="shared" ref="B11:J11" si="3">B10/B$14</f>
        <v>0</v>
      </c>
      <c r="C11" s="540">
        <f t="shared" si="3"/>
        <v>0</v>
      </c>
      <c r="D11" s="540">
        <f t="shared" si="3"/>
        <v>0</v>
      </c>
      <c r="E11" s="540">
        <f t="shared" si="3"/>
        <v>8.4817642069550466E-4</v>
      </c>
      <c r="F11" s="540">
        <f t="shared" si="3"/>
        <v>0</v>
      </c>
      <c r="G11" s="540">
        <f t="shared" si="3"/>
        <v>0</v>
      </c>
      <c r="H11" s="540">
        <f t="shared" si="3"/>
        <v>1.2566760917373547E-3</v>
      </c>
      <c r="I11" s="540">
        <f t="shared" si="3"/>
        <v>0</v>
      </c>
      <c r="J11" s="540">
        <f t="shared" si="3"/>
        <v>0</v>
      </c>
      <c r="K11" s="540">
        <f>K10/K$14</f>
        <v>3.2780436635415985E-4</v>
      </c>
    </row>
    <row r="12" spans="1:11" s="22" customFormat="1" ht="18.75" customHeight="1" x14ac:dyDescent="0.15">
      <c r="A12" s="721" t="s">
        <v>18</v>
      </c>
      <c r="B12" s="541">
        <f>SUM(B24,C24,D24,B25,C25,D25)</f>
        <v>3</v>
      </c>
      <c r="C12" s="542">
        <f>SUM(E24,F24,E25,F25)</f>
        <v>1</v>
      </c>
      <c r="D12" s="542">
        <f>SUM(G24,H24,I24,J24,G25,H25,I25,J25)</f>
        <v>8</v>
      </c>
      <c r="E12" s="542">
        <f>SUM(K24,L24,K25,L25)</f>
        <v>5</v>
      </c>
      <c r="F12" s="542">
        <f>SUM(M24,N24,M25,N25)</f>
        <v>1</v>
      </c>
      <c r="G12" s="542">
        <f>SUM(O24,P24,Q24,O25,P25,Q25)</f>
        <v>1</v>
      </c>
      <c r="H12" s="542">
        <f>SUM(R24:R25)</f>
        <v>9</v>
      </c>
      <c r="I12" s="542">
        <f>SUM(S24:S25)</f>
        <v>1</v>
      </c>
      <c r="J12" s="542">
        <f>SUM(T24:U25)</f>
        <v>6</v>
      </c>
      <c r="K12" s="508">
        <f>SUM(B12:J12)</f>
        <v>35</v>
      </c>
    </row>
    <row r="13" spans="1:11" s="22" customFormat="1" ht="18.75" customHeight="1" x14ac:dyDescent="0.15">
      <c r="A13" s="723"/>
      <c r="B13" s="512">
        <f t="shared" ref="B13:J13" si="4">B12/B$14</f>
        <v>2.4793388429752068E-3</v>
      </c>
      <c r="C13" s="512">
        <f t="shared" si="4"/>
        <v>7.9744816586921851E-4</v>
      </c>
      <c r="D13" s="512">
        <f t="shared" si="4"/>
        <v>6.0744115413819289E-3</v>
      </c>
      <c r="E13" s="512">
        <f t="shared" si="4"/>
        <v>4.2408821034775231E-3</v>
      </c>
      <c r="F13" s="512">
        <f t="shared" si="4"/>
        <v>9.7560975609756097E-4</v>
      </c>
      <c r="G13" s="512">
        <f t="shared" si="4"/>
        <v>3.0721966205837174E-4</v>
      </c>
      <c r="H13" s="512">
        <f t="shared" si="4"/>
        <v>2.8275212064090482E-3</v>
      </c>
      <c r="I13" s="512">
        <f t="shared" si="4"/>
        <v>6.5359477124183002E-4</v>
      </c>
      <c r="J13" s="512">
        <f t="shared" si="4"/>
        <v>4.6153846153846158E-3</v>
      </c>
      <c r="K13" s="512">
        <f>K12/K$14</f>
        <v>2.294630564479119E-3</v>
      </c>
    </row>
    <row r="14" spans="1:11" s="22" customFormat="1" ht="18.75" customHeight="1" x14ac:dyDescent="0.15">
      <c r="A14" s="742" t="s">
        <v>11</v>
      </c>
      <c r="B14" s="620">
        <f>SUM(B4,B6,B8,B10,B12)</f>
        <v>1210</v>
      </c>
      <c r="C14" s="620">
        <f t="shared" ref="C14:J15" si="5">SUM(C4,C6,C8,C10,C12)</f>
        <v>1254</v>
      </c>
      <c r="D14" s="620">
        <f t="shared" si="5"/>
        <v>1317</v>
      </c>
      <c r="E14" s="620">
        <f t="shared" si="5"/>
        <v>1179</v>
      </c>
      <c r="F14" s="620">
        <f t="shared" si="5"/>
        <v>1025</v>
      </c>
      <c r="G14" s="620">
        <f t="shared" si="5"/>
        <v>3255</v>
      </c>
      <c r="H14" s="620">
        <f t="shared" si="5"/>
        <v>3183</v>
      </c>
      <c r="I14" s="620">
        <f t="shared" si="5"/>
        <v>1530</v>
      </c>
      <c r="J14" s="620">
        <f t="shared" si="5"/>
        <v>1300</v>
      </c>
      <c r="K14" s="621">
        <f>SUM(B14:J14)</f>
        <v>15253</v>
      </c>
    </row>
    <row r="15" spans="1:11" s="22" customFormat="1" ht="18.75" customHeight="1" x14ac:dyDescent="0.15">
      <c r="A15" s="743"/>
      <c r="B15" s="622">
        <f>SUM(B5,B7,B9,B11,B13)</f>
        <v>1</v>
      </c>
      <c r="C15" s="622">
        <f t="shared" si="5"/>
        <v>1</v>
      </c>
      <c r="D15" s="622">
        <f t="shared" si="5"/>
        <v>0.99999999999999989</v>
      </c>
      <c r="E15" s="622">
        <f t="shared" si="5"/>
        <v>1</v>
      </c>
      <c r="F15" s="622">
        <f t="shared" si="5"/>
        <v>1</v>
      </c>
      <c r="G15" s="622">
        <f t="shared" si="5"/>
        <v>1</v>
      </c>
      <c r="H15" s="622">
        <f t="shared" si="5"/>
        <v>1</v>
      </c>
      <c r="I15" s="622">
        <f t="shared" si="5"/>
        <v>1</v>
      </c>
      <c r="J15" s="622">
        <v>1</v>
      </c>
      <c r="K15" s="622">
        <f>SUM(K5,K7,K9,K11,K13)</f>
        <v>1</v>
      </c>
    </row>
    <row r="18" spans="1:21" hidden="1" x14ac:dyDescent="0.15">
      <c r="A18" s="377"/>
      <c r="B18" s="377"/>
      <c r="C18" s="377"/>
      <c r="D18" s="377"/>
      <c r="E18" s="377"/>
      <c r="F18" s="377"/>
      <c r="G18" s="377"/>
      <c r="H18" s="377"/>
      <c r="I18" s="377"/>
    </row>
    <row r="19" spans="1:21" hidden="1" x14ac:dyDescent="0.15">
      <c r="A19" s="538" t="s">
        <v>370</v>
      </c>
      <c r="B19" s="538" t="s">
        <v>384</v>
      </c>
      <c r="C19" s="538" t="s">
        <v>385</v>
      </c>
      <c r="D19" s="538" t="s">
        <v>386</v>
      </c>
      <c r="E19" s="538" t="s">
        <v>387</v>
      </c>
      <c r="F19" s="538" t="s">
        <v>388</v>
      </c>
      <c r="G19" s="538" t="s">
        <v>389</v>
      </c>
      <c r="H19" s="538" t="s">
        <v>390</v>
      </c>
      <c r="I19" s="538" t="s">
        <v>391</v>
      </c>
      <c r="J19" s="538" t="s">
        <v>392</v>
      </c>
      <c r="K19" s="538" t="s">
        <v>393</v>
      </c>
      <c r="L19" s="538" t="s">
        <v>394</v>
      </c>
      <c r="M19" s="538" t="s">
        <v>395</v>
      </c>
      <c r="N19" s="538" t="s">
        <v>396</v>
      </c>
      <c r="O19" s="538" t="s">
        <v>397</v>
      </c>
      <c r="P19" s="538" t="s">
        <v>398</v>
      </c>
      <c r="Q19" s="538" t="s">
        <v>399</v>
      </c>
      <c r="R19" s="538" t="s">
        <v>400</v>
      </c>
      <c r="S19" s="538" t="s">
        <v>401</v>
      </c>
      <c r="T19" s="538" t="s">
        <v>464</v>
      </c>
      <c r="U19" s="55" t="s">
        <v>591</v>
      </c>
    </row>
    <row r="20" spans="1:21" hidden="1" x14ac:dyDescent="0.15">
      <c r="A20" s="538" t="s">
        <v>371</v>
      </c>
      <c r="B20" s="23">
        <v>1</v>
      </c>
      <c r="C20" s="23">
        <v>3</v>
      </c>
      <c r="D20" s="23"/>
      <c r="E20" s="23">
        <v>1</v>
      </c>
      <c r="F20" s="23">
        <v>2</v>
      </c>
      <c r="G20" s="23">
        <v>4</v>
      </c>
      <c r="H20" s="23">
        <v>3</v>
      </c>
      <c r="I20" s="23">
        <v>4</v>
      </c>
      <c r="J20" s="23">
        <v>2</v>
      </c>
      <c r="K20" s="23">
        <v>5</v>
      </c>
      <c r="L20" s="23">
        <v>5</v>
      </c>
      <c r="M20" s="23">
        <v>2</v>
      </c>
      <c r="N20" s="23">
        <v>2</v>
      </c>
      <c r="O20" s="23">
        <v>3</v>
      </c>
      <c r="P20" s="23">
        <v>3</v>
      </c>
      <c r="Q20" s="23">
        <v>4</v>
      </c>
      <c r="R20" s="23">
        <v>32</v>
      </c>
      <c r="S20" s="23">
        <v>7</v>
      </c>
      <c r="T20" s="23">
        <v>5</v>
      </c>
      <c r="U20" s="23">
        <v>3</v>
      </c>
    </row>
    <row r="21" spans="1:21" hidden="1" x14ac:dyDescent="0.15">
      <c r="A21" s="538" t="s">
        <v>15</v>
      </c>
      <c r="B21" s="23">
        <v>200</v>
      </c>
      <c r="C21" s="23">
        <v>230</v>
      </c>
      <c r="D21" s="23">
        <v>251</v>
      </c>
      <c r="E21" s="23">
        <v>519</v>
      </c>
      <c r="F21" s="23">
        <v>380</v>
      </c>
      <c r="G21" s="23">
        <v>271</v>
      </c>
      <c r="H21" s="23">
        <v>181</v>
      </c>
      <c r="I21" s="23">
        <v>213</v>
      </c>
      <c r="J21" s="23">
        <v>149</v>
      </c>
      <c r="K21" s="23">
        <v>403</v>
      </c>
      <c r="L21" s="23">
        <v>219</v>
      </c>
      <c r="M21" s="23">
        <v>232</v>
      </c>
      <c r="N21" s="23">
        <v>312</v>
      </c>
      <c r="O21" s="23">
        <v>490</v>
      </c>
      <c r="P21" s="23">
        <v>603</v>
      </c>
      <c r="Q21" s="23">
        <v>649</v>
      </c>
      <c r="R21" s="23">
        <v>1684</v>
      </c>
      <c r="S21" s="23">
        <v>872</v>
      </c>
      <c r="T21" s="23">
        <v>603</v>
      </c>
      <c r="U21" s="23">
        <v>39</v>
      </c>
    </row>
    <row r="22" spans="1:21" hidden="1" x14ac:dyDescent="0.15">
      <c r="A22" s="538" t="s">
        <v>16</v>
      </c>
      <c r="B22" s="23">
        <v>134</v>
      </c>
      <c r="C22" s="23">
        <v>211</v>
      </c>
      <c r="D22" s="23">
        <v>177</v>
      </c>
      <c r="E22" s="23">
        <v>175</v>
      </c>
      <c r="F22" s="23">
        <v>176</v>
      </c>
      <c r="G22" s="23">
        <v>147</v>
      </c>
      <c r="H22" s="23">
        <v>86</v>
      </c>
      <c r="I22" s="23">
        <v>125</v>
      </c>
      <c r="J22" s="23">
        <v>124</v>
      </c>
      <c r="K22" s="23">
        <v>307</v>
      </c>
      <c r="L22" s="23">
        <v>234</v>
      </c>
      <c r="M22" s="23">
        <v>250</v>
      </c>
      <c r="N22" s="23">
        <v>226</v>
      </c>
      <c r="O22" s="23">
        <v>428</v>
      </c>
      <c r="P22" s="23">
        <v>719</v>
      </c>
      <c r="Q22" s="23">
        <v>355</v>
      </c>
      <c r="R22" s="23">
        <v>1454</v>
      </c>
      <c r="S22" s="23">
        <v>650</v>
      </c>
      <c r="T22" s="23">
        <v>579</v>
      </c>
      <c r="U22" s="23">
        <v>65</v>
      </c>
    </row>
    <row r="23" spans="1:21" hidden="1" x14ac:dyDescent="0.15">
      <c r="A23" s="538" t="s">
        <v>17</v>
      </c>
      <c r="B23" s="23"/>
      <c r="C23" s="23"/>
      <c r="D23" s="23"/>
      <c r="E23" s="23"/>
      <c r="F23" s="23"/>
      <c r="G23" s="23"/>
      <c r="H23" s="23"/>
      <c r="I23" s="23"/>
      <c r="J23" s="23"/>
      <c r="K23" s="23">
        <v>1</v>
      </c>
      <c r="L23" s="23"/>
      <c r="M23" s="23"/>
      <c r="N23" s="23"/>
      <c r="O23" s="23"/>
      <c r="P23" s="23"/>
      <c r="Q23" s="23"/>
      <c r="R23" s="23">
        <v>4</v>
      </c>
      <c r="S23" s="23"/>
      <c r="T23" s="23"/>
      <c r="U23" s="23"/>
    </row>
    <row r="24" spans="1:21" hidden="1" x14ac:dyDescent="0.15">
      <c r="A24" s="538" t="s">
        <v>372</v>
      </c>
      <c r="B24" s="23"/>
      <c r="C24" s="23"/>
      <c r="D24" s="23"/>
      <c r="E24" s="23"/>
      <c r="F24" s="23"/>
      <c r="G24" s="23"/>
      <c r="H24" s="23"/>
      <c r="I24" s="23">
        <v>1</v>
      </c>
      <c r="J24" s="23"/>
      <c r="K24" s="23"/>
      <c r="L24" s="23"/>
      <c r="M24" s="23"/>
      <c r="N24" s="23"/>
      <c r="O24" s="23"/>
      <c r="P24" s="23"/>
      <c r="Q24" s="23"/>
      <c r="R24" s="23"/>
      <c r="S24" s="23"/>
      <c r="T24" s="23">
        <v>1</v>
      </c>
      <c r="U24" s="23"/>
    </row>
    <row r="25" spans="1:21" hidden="1" x14ac:dyDescent="0.15">
      <c r="A25" s="538" t="s">
        <v>373</v>
      </c>
      <c r="B25" s="23"/>
      <c r="C25" s="23">
        <v>1</v>
      </c>
      <c r="D25" s="23">
        <v>2</v>
      </c>
      <c r="E25" s="23"/>
      <c r="F25" s="23">
        <v>1</v>
      </c>
      <c r="G25" s="23">
        <v>4</v>
      </c>
      <c r="H25" s="23">
        <v>2</v>
      </c>
      <c r="I25" s="23">
        <v>1</v>
      </c>
      <c r="J25" s="23"/>
      <c r="K25" s="23">
        <v>2</v>
      </c>
      <c r="L25" s="23">
        <v>3</v>
      </c>
      <c r="M25" s="23">
        <v>1</v>
      </c>
      <c r="N25" s="23"/>
      <c r="O25" s="23"/>
      <c r="P25" s="23"/>
      <c r="Q25" s="23">
        <v>1</v>
      </c>
      <c r="R25" s="23">
        <v>9</v>
      </c>
      <c r="S25" s="23">
        <v>1</v>
      </c>
      <c r="T25" s="23">
        <v>4</v>
      </c>
      <c r="U25" s="23">
        <v>1</v>
      </c>
    </row>
    <row r="26" spans="1:21" hidden="1" x14ac:dyDescent="0.15">
      <c r="A26" s="538" t="s">
        <v>467</v>
      </c>
      <c r="B26" s="23"/>
      <c r="C26" s="23"/>
      <c r="D26" s="23"/>
      <c r="E26" s="23"/>
      <c r="F26" s="23"/>
      <c r="G26" s="23"/>
      <c r="H26" s="23"/>
      <c r="I26" s="23"/>
      <c r="J26" s="23"/>
      <c r="K26" s="23"/>
      <c r="L26" s="23"/>
      <c r="M26" s="23"/>
      <c r="N26" s="23"/>
      <c r="O26" s="23"/>
      <c r="P26" s="23"/>
      <c r="Q26" s="23"/>
      <c r="R26" s="23"/>
      <c r="S26" s="23"/>
      <c r="T26" s="23"/>
      <c r="U26" s="23"/>
    </row>
    <row r="27" spans="1:21" hidden="1" x14ac:dyDescent="0.15">
      <c r="A27" s="538"/>
      <c r="B27" s="543"/>
    </row>
    <row r="28" spans="1:21" hidden="1" x14ac:dyDescent="0.15">
      <c r="A28" s="538"/>
      <c r="B28" s="544"/>
    </row>
    <row r="29" spans="1:21" hidden="1" x14ac:dyDescent="0.15"/>
    <row r="30" spans="1:21" hidden="1" x14ac:dyDescent="0.15"/>
    <row r="31" spans="1:21" hidden="1" x14ac:dyDescent="0.15"/>
  </sheetData>
  <mergeCells count="5">
    <mergeCell ref="A6:A7"/>
    <mergeCell ref="A8:A9"/>
    <mergeCell ref="A10:A11"/>
    <mergeCell ref="A12:A13"/>
    <mergeCell ref="A14:A15"/>
  </mergeCells>
  <phoneticPr fontId="2"/>
  <printOptions horizontalCentered="1"/>
  <pageMargins left="0.70866141732283472" right="0.70866141732283472" top="0.74803149606299213" bottom="0.74803149606299213" header="0.31496062992125984" footer="0.31496062992125984"/>
  <pageSetup paperSize="9" scale="89" orientation="portrait" r:id="rId1"/>
  <ignoredErrors>
    <ignoredError sqref="B4:K5" formulaRange="1"/>
    <ignoredError sqref="B6:K13" formula="1"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44033" r:id="rId4" name="Button 1">
              <controlPr defaultSize="0" print="0" autoFill="0" autoPict="0" macro="[0]!データ削除32">
                <anchor moveWithCells="1" sizeWithCells="1">
                  <from>
                    <xdr:col>12</xdr:col>
                    <xdr:colOff>180975</xdr:colOff>
                    <xdr:row>13</xdr:row>
                    <xdr:rowOff>114300</xdr:rowOff>
                  </from>
                  <to>
                    <xdr:col>15</xdr:col>
                    <xdr:colOff>447675</xdr:colOff>
                    <xdr:row>16</xdr:row>
                    <xdr:rowOff>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tabColor theme="5" tint="0.39997558519241921"/>
    <pageSetUpPr fitToPage="1"/>
  </sheetPr>
  <dimension ref="A1:U56"/>
  <sheetViews>
    <sheetView showGridLines="0" zoomScale="70" zoomScaleNormal="70" zoomScaleSheetLayoutView="100" workbookViewId="0">
      <selection activeCell="S34" sqref="S34"/>
    </sheetView>
  </sheetViews>
  <sheetFormatPr defaultColWidth="13.75" defaultRowHeight="18.75" x14ac:dyDescent="0.15"/>
  <cols>
    <col min="1" max="1" width="27.5" style="1" customWidth="1"/>
    <col min="2" max="11" width="8.75" style="1" customWidth="1"/>
    <col min="12" max="12" width="7.5" style="1" customWidth="1"/>
    <col min="13" max="16" width="7.5" style="1" hidden="1" customWidth="1"/>
    <col min="17" max="21" width="7.5" style="1" customWidth="1"/>
    <col min="22" max="16384" width="13.75" style="1"/>
  </cols>
  <sheetData>
    <row r="1" spans="1:11" s="3" customFormat="1" ht="19.5" x14ac:dyDescent="0.15">
      <c r="A1" s="2" t="s">
        <v>468</v>
      </c>
    </row>
    <row r="2" spans="1:11" x14ac:dyDescent="0.15">
      <c r="A2" s="4"/>
    </row>
    <row r="3" spans="1:11" ht="37.5" x14ac:dyDescent="0.15">
      <c r="A3" s="506"/>
      <c r="B3" s="506" t="s">
        <v>376</v>
      </c>
      <c r="C3" s="506" t="s">
        <v>377</v>
      </c>
      <c r="D3" s="506" t="s">
        <v>378</v>
      </c>
      <c r="E3" s="506" t="s">
        <v>379</v>
      </c>
      <c r="F3" s="506" t="s">
        <v>380</v>
      </c>
      <c r="G3" s="506" t="s">
        <v>381</v>
      </c>
      <c r="H3" s="506" t="s">
        <v>382</v>
      </c>
      <c r="I3" s="506" t="s">
        <v>383</v>
      </c>
      <c r="J3" s="535" t="s">
        <v>463</v>
      </c>
      <c r="K3" s="506" t="s">
        <v>62</v>
      </c>
    </row>
    <row r="4" spans="1:11" s="22" customFormat="1" ht="18" customHeight="1" x14ac:dyDescent="0.15">
      <c r="A4" s="725" t="s">
        <v>405</v>
      </c>
      <c r="B4" s="507">
        <f>SUM(B6,B8,B10)</f>
        <v>262</v>
      </c>
      <c r="C4" s="507">
        <f t="shared" ref="C4:J4" si="0">SUM(C6,C8,C10)</f>
        <v>445</v>
      </c>
      <c r="D4" s="507">
        <f t="shared" si="0"/>
        <v>317</v>
      </c>
      <c r="E4" s="507">
        <f t="shared" si="0"/>
        <v>248</v>
      </c>
      <c r="F4" s="507">
        <f t="shared" si="0"/>
        <v>246</v>
      </c>
      <c r="G4" s="507">
        <f t="shared" si="0"/>
        <v>1354</v>
      </c>
      <c r="H4" s="507">
        <f t="shared" si="0"/>
        <v>758</v>
      </c>
      <c r="I4" s="507">
        <f t="shared" si="0"/>
        <v>400</v>
      </c>
      <c r="J4" s="507">
        <f t="shared" si="0"/>
        <v>317</v>
      </c>
      <c r="K4" s="508">
        <f>SUM(B4:J4)</f>
        <v>4347</v>
      </c>
    </row>
    <row r="5" spans="1:11" s="22" customFormat="1" ht="18" customHeight="1" x14ac:dyDescent="0.15">
      <c r="A5" s="726"/>
      <c r="B5" s="512">
        <f>B4/B$34</f>
        <v>0.21652892561983472</v>
      </c>
      <c r="C5" s="512">
        <f t="shared" ref="C5:J5" si="1">C4/C$34</f>
        <v>0.35486443381180222</v>
      </c>
      <c r="D5" s="512">
        <f t="shared" si="1"/>
        <v>0.24069855732725892</v>
      </c>
      <c r="E5" s="512">
        <f t="shared" si="1"/>
        <v>0.21034775233248515</v>
      </c>
      <c r="F5" s="512">
        <f t="shared" si="1"/>
        <v>0.24</v>
      </c>
      <c r="G5" s="512">
        <f t="shared" si="1"/>
        <v>0.41597542242703534</v>
      </c>
      <c r="H5" s="512">
        <f t="shared" si="1"/>
        <v>0.23814011938422872</v>
      </c>
      <c r="I5" s="512">
        <f t="shared" si="1"/>
        <v>0.26143790849673204</v>
      </c>
      <c r="J5" s="512">
        <f t="shared" si="1"/>
        <v>0.24384615384615385</v>
      </c>
      <c r="K5" s="512">
        <f>K4/K$34</f>
        <v>0.28499311610830658</v>
      </c>
    </row>
    <row r="6" spans="1:11" s="22" customFormat="1" ht="18" customHeight="1" x14ac:dyDescent="0.15">
      <c r="A6" s="727" t="s">
        <v>406</v>
      </c>
      <c r="B6" s="507">
        <f>SUM(B39:D39)</f>
        <v>140</v>
      </c>
      <c r="C6" s="507">
        <f>SUM(E39:F39)</f>
        <v>294</v>
      </c>
      <c r="D6" s="507">
        <f>SUM(G39:J39)</f>
        <v>141</v>
      </c>
      <c r="E6" s="507">
        <f>SUM(K39:L39)</f>
        <v>99</v>
      </c>
      <c r="F6" s="507">
        <f>SUM(M39:N39)</f>
        <v>126</v>
      </c>
      <c r="G6" s="507">
        <f>SUM(O39:Q39)</f>
        <v>681</v>
      </c>
      <c r="H6" s="507">
        <f>R39</f>
        <v>310</v>
      </c>
      <c r="I6" s="507">
        <f>S39</f>
        <v>196</v>
      </c>
      <c r="J6" s="507">
        <f>SUM(T39:U39)</f>
        <v>129</v>
      </c>
      <c r="K6" s="508">
        <f>SUM(B6:J6)</f>
        <v>2116</v>
      </c>
    </row>
    <row r="7" spans="1:11" s="22" customFormat="1" ht="18" customHeight="1" x14ac:dyDescent="0.15">
      <c r="A7" s="728"/>
      <c r="B7" s="512">
        <f>B6/B$34</f>
        <v>0.11570247933884298</v>
      </c>
      <c r="C7" s="512">
        <f t="shared" ref="C7:J7" si="2">C6/C$34</f>
        <v>0.23444976076555024</v>
      </c>
      <c r="D7" s="512">
        <f t="shared" si="2"/>
        <v>0.1070615034168565</v>
      </c>
      <c r="E7" s="512">
        <f t="shared" si="2"/>
        <v>8.3969465648854963E-2</v>
      </c>
      <c r="F7" s="512">
        <f t="shared" si="2"/>
        <v>0.12292682926829268</v>
      </c>
      <c r="G7" s="512">
        <f t="shared" si="2"/>
        <v>0.20921658986175115</v>
      </c>
      <c r="H7" s="512">
        <f t="shared" si="2"/>
        <v>9.7392397109644993E-2</v>
      </c>
      <c r="I7" s="512">
        <f t="shared" si="2"/>
        <v>0.12810457516339868</v>
      </c>
      <c r="J7" s="512">
        <f t="shared" si="2"/>
        <v>9.9230769230769234E-2</v>
      </c>
      <c r="K7" s="512">
        <f>K6/K$34</f>
        <v>0.13872680784108044</v>
      </c>
    </row>
    <row r="8" spans="1:11" s="22" customFormat="1" ht="18" customHeight="1" x14ac:dyDescent="0.15">
      <c r="A8" s="727" t="s">
        <v>407</v>
      </c>
      <c r="B8" s="507">
        <f>SUM(B40:D40)</f>
        <v>14</v>
      </c>
      <c r="C8" s="507">
        <f>SUM(E40:F40)</f>
        <v>36</v>
      </c>
      <c r="D8" s="507">
        <f>SUM(G40:J40)</f>
        <v>29</v>
      </c>
      <c r="E8" s="507">
        <f>SUM(K40:L40)</f>
        <v>12</v>
      </c>
      <c r="F8" s="507">
        <f>SUM(M40:N40)</f>
        <v>10</v>
      </c>
      <c r="G8" s="507">
        <f>SUM(O40:Q40)</f>
        <v>123</v>
      </c>
      <c r="H8" s="507">
        <f>R40</f>
        <v>52</v>
      </c>
      <c r="I8" s="507">
        <f>S40</f>
        <v>28</v>
      </c>
      <c r="J8" s="507">
        <f>SUM(T40:U40)</f>
        <v>32</v>
      </c>
      <c r="K8" s="508">
        <f>SUM(B8:J8)</f>
        <v>336</v>
      </c>
    </row>
    <row r="9" spans="1:11" s="22" customFormat="1" ht="18" customHeight="1" x14ac:dyDescent="0.15">
      <c r="A9" s="728"/>
      <c r="B9" s="512">
        <f>B8/B$34</f>
        <v>1.1570247933884297E-2</v>
      </c>
      <c r="C9" s="512">
        <f t="shared" ref="C9:J9" si="3">C8/C$34</f>
        <v>2.8708133971291867E-2</v>
      </c>
      <c r="D9" s="512">
        <f t="shared" si="3"/>
        <v>2.2019741837509491E-2</v>
      </c>
      <c r="E9" s="512">
        <f t="shared" si="3"/>
        <v>1.0178117048346057E-2</v>
      </c>
      <c r="F9" s="512">
        <f t="shared" si="3"/>
        <v>9.7560975609756097E-3</v>
      </c>
      <c r="G9" s="512">
        <f t="shared" si="3"/>
        <v>3.7788018433179721E-2</v>
      </c>
      <c r="H9" s="512">
        <f t="shared" si="3"/>
        <v>1.6336789192585612E-2</v>
      </c>
      <c r="I9" s="512">
        <f t="shared" si="3"/>
        <v>1.8300653594771243E-2</v>
      </c>
      <c r="J9" s="512">
        <f t="shared" si="3"/>
        <v>2.4615384615384615E-2</v>
      </c>
      <c r="K9" s="512">
        <f>K8/K$34</f>
        <v>2.202845341899954E-2</v>
      </c>
    </row>
    <row r="10" spans="1:11" s="22" customFormat="1" ht="18" customHeight="1" x14ac:dyDescent="0.15">
      <c r="A10" s="727" t="s">
        <v>408</v>
      </c>
      <c r="B10" s="507">
        <f>SUM(B41:D41)</f>
        <v>108</v>
      </c>
      <c r="C10" s="507">
        <f>SUM(E41:F41)</f>
        <v>115</v>
      </c>
      <c r="D10" s="507">
        <f>SUM(G41:J41)</f>
        <v>147</v>
      </c>
      <c r="E10" s="507">
        <f>SUM(K41:L41)</f>
        <v>137</v>
      </c>
      <c r="F10" s="507">
        <f>SUM(M41:N41)</f>
        <v>110</v>
      </c>
      <c r="G10" s="507">
        <f>SUM(O41:Q41)</f>
        <v>550</v>
      </c>
      <c r="H10" s="507">
        <f>R41</f>
        <v>396</v>
      </c>
      <c r="I10" s="507">
        <f>S41</f>
        <v>176</v>
      </c>
      <c r="J10" s="507">
        <f>SUM(T41:U41)</f>
        <v>156</v>
      </c>
      <c r="K10" s="508">
        <f>SUM(B10:J10)</f>
        <v>1895</v>
      </c>
    </row>
    <row r="11" spans="1:11" s="22" customFormat="1" ht="26.25" customHeight="1" x14ac:dyDescent="0.15">
      <c r="A11" s="728"/>
      <c r="B11" s="512">
        <f>B10/B$34</f>
        <v>8.9256198347107435E-2</v>
      </c>
      <c r="C11" s="512">
        <f t="shared" ref="C11:J11" si="4">C10/C$34</f>
        <v>9.1706539074960125E-2</v>
      </c>
      <c r="D11" s="512">
        <f t="shared" si="4"/>
        <v>0.11161731207289294</v>
      </c>
      <c r="E11" s="512">
        <f t="shared" si="4"/>
        <v>0.11620016963528414</v>
      </c>
      <c r="F11" s="512">
        <f t="shared" si="4"/>
        <v>0.10731707317073171</v>
      </c>
      <c r="G11" s="512">
        <f t="shared" si="4"/>
        <v>0.16897081413210446</v>
      </c>
      <c r="H11" s="512">
        <f t="shared" si="4"/>
        <v>0.12441093308199812</v>
      </c>
      <c r="I11" s="512">
        <f t="shared" si="4"/>
        <v>0.11503267973856209</v>
      </c>
      <c r="J11" s="512">
        <f t="shared" si="4"/>
        <v>0.12</v>
      </c>
      <c r="K11" s="512">
        <f>K10/K$34</f>
        <v>0.12423785484822658</v>
      </c>
    </row>
    <row r="12" spans="1:11" s="22" customFormat="1" ht="18" customHeight="1" x14ac:dyDescent="0.15">
      <c r="A12" s="725" t="s">
        <v>20</v>
      </c>
      <c r="B12" s="507">
        <f>SUM(B42,C42,D42,B43,C43,D43,B44,C44,D44)</f>
        <v>49</v>
      </c>
      <c r="C12" s="507">
        <f>SUM(E42:F42,E43:F43,E44:F44)</f>
        <v>40</v>
      </c>
      <c r="D12" s="507">
        <f>SUM(G42:J42,G43:J43,G44:J44)</f>
        <v>46</v>
      </c>
      <c r="E12" s="507">
        <f>SUM(K42:L42,K43:L43,K44:L44)</f>
        <v>40</v>
      </c>
      <c r="F12" s="507">
        <f>SUM(M42:N42,M43:N43,M44:N44)</f>
        <v>65</v>
      </c>
      <c r="G12" s="507">
        <f>SUM(O42:Q42,O43:Q43,O44:Q44)</f>
        <v>163</v>
      </c>
      <c r="H12" s="507">
        <f>SUM(R42,R43,R44)</f>
        <v>218</v>
      </c>
      <c r="I12" s="507">
        <f>SUM(S42,S43,S44)</f>
        <v>116</v>
      </c>
      <c r="J12" s="507">
        <f>SUM(T42:U42,T43:U43,T44:U44)</f>
        <v>93</v>
      </c>
      <c r="K12" s="508">
        <f>SUM(B12:J12)</f>
        <v>830</v>
      </c>
    </row>
    <row r="13" spans="1:11" s="22" customFormat="1" ht="18" customHeight="1" x14ac:dyDescent="0.15">
      <c r="A13" s="726"/>
      <c r="B13" s="512">
        <f>B12/B$34</f>
        <v>4.049586776859504E-2</v>
      </c>
      <c r="C13" s="512">
        <f t="shared" ref="C13:J13" si="5">C12/C$34</f>
        <v>3.1897926634768738E-2</v>
      </c>
      <c r="D13" s="512">
        <f t="shared" si="5"/>
        <v>3.4927866362946092E-2</v>
      </c>
      <c r="E13" s="512">
        <f t="shared" si="5"/>
        <v>3.3927056827820185E-2</v>
      </c>
      <c r="F13" s="512">
        <f t="shared" si="5"/>
        <v>6.3414634146341464E-2</v>
      </c>
      <c r="G13" s="512">
        <f t="shared" si="5"/>
        <v>5.007680491551459E-2</v>
      </c>
      <c r="H13" s="512">
        <f t="shared" si="5"/>
        <v>6.8488846999685826E-2</v>
      </c>
      <c r="I13" s="512">
        <f t="shared" si="5"/>
        <v>7.5816993464052282E-2</v>
      </c>
      <c r="J13" s="512">
        <f t="shared" si="5"/>
        <v>7.1538461538461537E-2</v>
      </c>
      <c r="K13" s="512">
        <f>K12/K$34</f>
        <v>5.4415524814790533E-2</v>
      </c>
    </row>
    <row r="14" spans="1:11" s="22" customFormat="1" ht="18" customHeight="1" x14ac:dyDescent="0.15">
      <c r="A14" s="725" t="s">
        <v>21</v>
      </c>
      <c r="B14" s="507">
        <f>SUM(B45:D45)</f>
        <v>685</v>
      </c>
      <c r="C14" s="507">
        <f>SUM(E45:F45)</f>
        <v>602</v>
      </c>
      <c r="D14" s="507">
        <f>SUM(G45:J45)</f>
        <v>731</v>
      </c>
      <c r="E14" s="507">
        <f>SUM(K45:L45)</f>
        <v>664</v>
      </c>
      <c r="F14" s="507">
        <f>SUM(M45:N45)</f>
        <v>530</v>
      </c>
      <c r="G14" s="507">
        <f>SUM(O45:Q45)</f>
        <v>1272</v>
      </c>
      <c r="H14" s="507">
        <f>R45</f>
        <v>1661</v>
      </c>
      <c r="I14" s="507">
        <f>S45</f>
        <v>748</v>
      </c>
      <c r="J14" s="507">
        <f>SUM(T45:U45)</f>
        <v>693</v>
      </c>
      <c r="K14" s="508">
        <f>SUM(B14:J14)</f>
        <v>7586</v>
      </c>
    </row>
    <row r="15" spans="1:11" s="22" customFormat="1" ht="18" customHeight="1" x14ac:dyDescent="0.15">
      <c r="A15" s="726"/>
      <c r="B15" s="512">
        <f>B14/B$34</f>
        <v>0.56611570247933884</v>
      </c>
      <c r="C15" s="512">
        <f t="shared" ref="C15:J15" si="6">C14/C$34</f>
        <v>0.48006379585326953</v>
      </c>
      <c r="D15" s="512">
        <f t="shared" si="6"/>
        <v>0.55504935459377369</v>
      </c>
      <c r="E15" s="512">
        <f t="shared" si="6"/>
        <v>0.56318914334181513</v>
      </c>
      <c r="F15" s="512">
        <f t="shared" si="6"/>
        <v>0.51707317073170733</v>
      </c>
      <c r="G15" s="512">
        <f t="shared" si="6"/>
        <v>0.39078341013824885</v>
      </c>
      <c r="H15" s="512">
        <f t="shared" si="6"/>
        <v>0.52183474709393651</v>
      </c>
      <c r="I15" s="512">
        <f t="shared" si="6"/>
        <v>0.48888888888888887</v>
      </c>
      <c r="J15" s="512">
        <f t="shared" si="6"/>
        <v>0.53307692307692311</v>
      </c>
      <c r="K15" s="512">
        <f>K14/K$34</f>
        <v>0.49734478463253129</v>
      </c>
    </row>
    <row r="16" spans="1:11" s="22" customFormat="1" ht="18" customHeight="1" x14ac:dyDescent="0.15">
      <c r="A16" s="725" t="s">
        <v>22</v>
      </c>
      <c r="B16" s="507">
        <f>SUM(B46:D47)</f>
        <v>134</v>
      </c>
      <c r="C16" s="507">
        <f>SUM(E46:F47)</f>
        <v>92</v>
      </c>
      <c r="D16" s="507">
        <f>SUM(G46:J47)</f>
        <v>144</v>
      </c>
      <c r="E16" s="507">
        <f>SUM(K46:L47)</f>
        <v>135</v>
      </c>
      <c r="F16" s="507">
        <f>SUM(M46:N47)</f>
        <v>119</v>
      </c>
      <c r="G16" s="507">
        <f>SUM(O46:Q47)</f>
        <v>300</v>
      </c>
      <c r="H16" s="507">
        <f>SUM(R46:R47)</f>
        <v>321</v>
      </c>
      <c r="I16" s="507">
        <f>SUM(S46:S47)</f>
        <v>174</v>
      </c>
      <c r="J16" s="507">
        <f>SUM(T46:U47)</f>
        <v>110</v>
      </c>
      <c r="K16" s="508">
        <f>SUM(B16:J16)</f>
        <v>1529</v>
      </c>
    </row>
    <row r="17" spans="1:11" s="22" customFormat="1" ht="18" customHeight="1" x14ac:dyDescent="0.15">
      <c r="A17" s="726"/>
      <c r="B17" s="512">
        <f>B16/B$34</f>
        <v>0.11074380165289256</v>
      </c>
      <c r="C17" s="512">
        <f t="shared" ref="C17:J17" si="7">C16/C$34</f>
        <v>7.3365231259968106E-2</v>
      </c>
      <c r="D17" s="512">
        <f t="shared" si="7"/>
        <v>0.10933940774487472</v>
      </c>
      <c r="E17" s="512">
        <f t="shared" si="7"/>
        <v>0.11450381679389313</v>
      </c>
      <c r="F17" s="512">
        <f t="shared" si="7"/>
        <v>0.11609756097560976</v>
      </c>
      <c r="G17" s="512">
        <f t="shared" si="7"/>
        <v>9.2165898617511524E-2</v>
      </c>
      <c r="H17" s="512">
        <f t="shared" si="7"/>
        <v>0.10084825636192271</v>
      </c>
      <c r="I17" s="512">
        <f t="shared" si="7"/>
        <v>0.11372549019607843</v>
      </c>
      <c r="J17" s="512">
        <f t="shared" si="7"/>
        <v>8.461538461538462E-2</v>
      </c>
      <c r="K17" s="512">
        <f>K16/K$34</f>
        <v>0.10024257523110208</v>
      </c>
    </row>
    <row r="18" spans="1:11" s="22" customFormat="1" ht="18" customHeight="1" x14ac:dyDescent="0.15">
      <c r="A18" s="725" t="s">
        <v>253</v>
      </c>
      <c r="B18" s="507">
        <f>SUM(B48:D48)</f>
        <v>23</v>
      </c>
      <c r="C18" s="507">
        <f>SUM(E48:F48)</f>
        <v>11</v>
      </c>
      <c r="D18" s="507">
        <f>SUM(G48:J48)</f>
        <v>26</v>
      </c>
      <c r="E18" s="507">
        <f>SUM(K48:L48)</f>
        <v>19</v>
      </c>
      <c r="F18" s="507">
        <f>SUM(M48:N48)</f>
        <v>22</v>
      </c>
      <c r="G18" s="507">
        <f>SUM(O48:Q48)</f>
        <v>36</v>
      </c>
      <c r="H18" s="507">
        <f>R48</f>
        <v>62</v>
      </c>
      <c r="I18" s="507">
        <f>S48</f>
        <v>20</v>
      </c>
      <c r="J18" s="507">
        <f>SUM(T48:U48)</f>
        <v>29</v>
      </c>
      <c r="K18" s="508">
        <f>SUM(B18:J18)</f>
        <v>248</v>
      </c>
    </row>
    <row r="19" spans="1:11" s="22" customFormat="1" ht="18" customHeight="1" x14ac:dyDescent="0.15">
      <c r="A19" s="726"/>
      <c r="B19" s="512">
        <f>B18/B$34</f>
        <v>1.9008264462809916E-2</v>
      </c>
      <c r="C19" s="512">
        <f t="shared" ref="C19:J19" si="8">C18/C$34</f>
        <v>8.771929824561403E-3</v>
      </c>
      <c r="D19" s="512">
        <f t="shared" si="8"/>
        <v>1.9741837509491267E-2</v>
      </c>
      <c r="E19" s="512">
        <f t="shared" si="8"/>
        <v>1.6115351993214587E-2</v>
      </c>
      <c r="F19" s="512">
        <f t="shared" si="8"/>
        <v>2.1463414634146343E-2</v>
      </c>
      <c r="G19" s="512">
        <f t="shared" si="8"/>
        <v>1.1059907834101382E-2</v>
      </c>
      <c r="H19" s="512">
        <f t="shared" si="8"/>
        <v>1.9478479421928999E-2</v>
      </c>
      <c r="I19" s="512">
        <f t="shared" si="8"/>
        <v>1.3071895424836602E-2</v>
      </c>
      <c r="J19" s="512">
        <f t="shared" si="8"/>
        <v>2.2307692307692306E-2</v>
      </c>
      <c r="K19" s="512">
        <f>K18/K$34</f>
        <v>1.6259096571166327E-2</v>
      </c>
    </row>
    <row r="20" spans="1:11" s="22" customFormat="1" ht="18" customHeight="1" x14ac:dyDescent="0.15">
      <c r="A20" s="725" t="s">
        <v>254</v>
      </c>
      <c r="B20" s="507">
        <f>SUM(B49:D49)</f>
        <v>7</v>
      </c>
      <c r="C20" s="507">
        <f>SUM(E49:F49)</f>
        <v>1</v>
      </c>
      <c r="D20" s="507">
        <f>SUM(G49:J49)</f>
        <v>1</v>
      </c>
      <c r="E20" s="507">
        <f>SUM(K49:L49)</f>
        <v>2</v>
      </c>
      <c r="F20" s="507">
        <f>SUM(M49:N49)</f>
        <v>3</v>
      </c>
      <c r="G20" s="507">
        <f>SUM(O49:Q49)</f>
        <v>8</v>
      </c>
      <c r="H20" s="507">
        <f>R49</f>
        <v>15</v>
      </c>
      <c r="I20" s="507">
        <f>S49</f>
        <v>3</v>
      </c>
      <c r="J20" s="507">
        <f>SUM(T49:U49)</f>
        <v>9</v>
      </c>
      <c r="K20" s="508">
        <f>SUM(B20:J20)</f>
        <v>49</v>
      </c>
    </row>
    <row r="21" spans="1:11" s="22" customFormat="1" ht="18" customHeight="1" x14ac:dyDescent="0.15">
      <c r="A21" s="726"/>
      <c r="B21" s="512">
        <f>B20/B$34</f>
        <v>5.7851239669421484E-3</v>
      </c>
      <c r="C21" s="512">
        <f t="shared" ref="C21:J21" si="9">C20/C$34</f>
        <v>7.9744816586921851E-4</v>
      </c>
      <c r="D21" s="512">
        <f t="shared" si="9"/>
        <v>7.5930144267274111E-4</v>
      </c>
      <c r="E21" s="512">
        <f t="shared" si="9"/>
        <v>1.6963528413910093E-3</v>
      </c>
      <c r="F21" s="512">
        <f t="shared" si="9"/>
        <v>2.9268292682926829E-3</v>
      </c>
      <c r="G21" s="512">
        <f t="shared" si="9"/>
        <v>2.4577572964669739E-3</v>
      </c>
      <c r="H21" s="512">
        <f t="shared" si="9"/>
        <v>4.7125353440150798E-3</v>
      </c>
      <c r="I21" s="512">
        <f t="shared" si="9"/>
        <v>1.9607843137254902E-3</v>
      </c>
      <c r="J21" s="512">
        <f t="shared" si="9"/>
        <v>6.9230769230769233E-3</v>
      </c>
      <c r="K21" s="512">
        <f>K20/K$34</f>
        <v>3.2124827902707664E-3</v>
      </c>
    </row>
    <row r="22" spans="1:11" s="22" customFormat="1" ht="18" customHeight="1" x14ac:dyDescent="0.15">
      <c r="A22" s="725" t="s">
        <v>409</v>
      </c>
      <c r="B22" s="507">
        <f>SUM(B50:D50)</f>
        <v>1</v>
      </c>
      <c r="C22" s="507">
        <f>SUM(E50:F50)</f>
        <v>6</v>
      </c>
      <c r="D22" s="507">
        <f>SUM(G50:J50)</f>
        <v>4</v>
      </c>
      <c r="E22" s="507">
        <f>SUM(K50:L50)</f>
        <v>8</v>
      </c>
      <c r="F22" s="507">
        <f>SUM(M50:N50)</f>
        <v>1</v>
      </c>
      <c r="G22" s="507">
        <f>SUM(O50:Q50)</f>
        <v>7</v>
      </c>
      <c r="H22" s="507">
        <f>R50</f>
        <v>11</v>
      </c>
      <c r="I22" s="507">
        <f>S50</f>
        <v>4</v>
      </c>
      <c r="J22" s="507">
        <f>SUM(T50:U50)</f>
        <v>8</v>
      </c>
      <c r="K22" s="508">
        <f>SUM(B22:J22)</f>
        <v>50</v>
      </c>
    </row>
    <row r="23" spans="1:11" s="22" customFormat="1" ht="18" customHeight="1" x14ac:dyDescent="0.15">
      <c r="A23" s="726"/>
      <c r="B23" s="512">
        <f>B22/B$34</f>
        <v>8.2644628099173552E-4</v>
      </c>
      <c r="C23" s="512">
        <f t="shared" ref="C23:J23" si="10">C22/C$34</f>
        <v>4.7846889952153108E-3</v>
      </c>
      <c r="D23" s="512">
        <f t="shared" si="10"/>
        <v>3.0372057706909645E-3</v>
      </c>
      <c r="E23" s="512">
        <f t="shared" si="10"/>
        <v>6.7854113655640372E-3</v>
      </c>
      <c r="F23" s="512">
        <f t="shared" si="10"/>
        <v>9.7560975609756097E-4</v>
      </c>
      <c r="G23" s="512">
        <f t="shared" si="10"/>
        <v>2.1505376344086021E-3</v>
      </c>
      <c r="H23" s="512">
        <f t="shared" si="10"/>
        <v>3.4558592522777255E-3</v>
      </c>
      <c r="I23" s="512">
        <f t="shared" si="10"/>
        <v>2.6143790849673201E-3</v>
      </c>
      <c r="J23" s="512">
        <f t="shared" si="10"/>
        <v>6.1538461538461538E-3</v>
      </c>
      <c r="K23" s="512">
        <f>K22/K$34</f>
        <v>3.2780436635415984E-3</v>
      </c>
    </row>
    <row r="24" spans="1:11" s="22" customFormat="1" ht="18" customHeight="1" x14ac:dyDescent="0.15">
      <c r="A24" s="725" t="s">
        <v>410</v>
      </c>
      <c r="B24" s="507">
        <f>SUM(B51:D51)</f>
        <v>20</v>
      </c>
      <c r="C24" s="507">
        <f>SUM(E51:F51)</f>
        <v>26</v>
      </c>
      <c r="D24" s="507">
        <f>SUM(G51:J51)</f>
        <v>22</v>
      </c>
      <c r="E24" s="507">
        <f>SUM(K51:L51)</f>
        <v>21</v>
      </c>
      <c r="F24" s="507">
        <f>SUM(M51:N51)</f>
        <v>18</v>
      </c>
      <c r="G24" s="507">
        <f>SUM(O51:Q51)</f>
        <v>67</v>
      </c>
      <c r="H24" s="507">
        <f>R51</f>
        <v>60</v>
      </c>
      <c r="I24" s="507">
        <f>S51</f>
        <v>25</v>
      </c>
      <c r="J24" s="507">
        <f>SUM(T51:U51)</f>
        <v>22</v>
      </c>
      <c r="K24" s="508">
        <f>SUM(B24:J24)</f>
        <v>281</v>
      </c>
    </row>
    <row r="25" spans="1:11" s="22" customFormat="1" ht="18" customHeight="1" x14ac:dyDescent="0.15">
      <c r="A25" s="726"/>
      <c r="B25" s="512">
        <f>B24/B$34</f>
        <v>1.6528925619834711E-2</v>
      </c>
      <c r="C25" s="512">
        <f t="shared" ref="C25:J25" si="11">C24/C$34</f>
        <v>2.0733652312599681E-2</v>
      </c>
      <c r="D25" s="512">
        <f t="shared" si="11"/>
        <v>1.6704631738800303E-2</v>
      </c>
      <c r="E25" s="512">
        <f t="shared" si="11"/>
        <v>1.7811704834605598E-2</v>
      </c>
      <c r="F25" s="512">
        <f t="shared" si="11"/>
        <v>1.7560975609756099E-2</v>
      </c>
      <c r="G25" s="512">
        <f t="shared" si="11"/>
        <v>2.0583717357910907E-2</v>
      </c>
      <c r="H25" s="512">
        <f t="shared" si="11"/>
        <v>1.8850141376060319E-2</v>
      </c>
      <c r="I25" s="512">
        <f t="shared" si="11"/>
        <v>1.6339869281045753E-2</v>
      </c>
      <c r="J25" s="512">
        <f t="shared" si="11"/>
        <v>1.6923076923076923E-2</v>
      </c>
      <c r="K25" s="512">
        <f>K24/K$34</f>
        <v>1.8422605389103782E-2</v>
      </c>
    </row>
    <row r="26" spans="1:11" s="22" customFormat="1" ht="18" customHeight="1" x14ac:dyDescent="0.15">
      <c r="A26" s="725" t="s">
        <v>83</v>
      </c>
      <c r="B26" s="507">
        <f>SUM(B52:D52)</f>
        <v>8</v>
      </c>
      <c r="C26" s="507">
        <f>SUM(E52:F52)</f>
        <v>17</v>
      </c>
      <c r="D26" s="507">
        <f>SUM(G52:J52)</f>
        <v>12</v>
      </c>
      <c r="E26" s="507">
        <f>SUM(K52:L52)</f>
        <v>11</v>
      </c>
      <c r="F26" s="507">
        <f>SUM(M52:N52)</f>
        <v>6</v>
      </c>
      <c r="G26" s="507">
        <f>SUM(O52:Q52)</f>
        <v>14</v>
      </c>
      <c r="H26" s="507">
        <f>R52</f>
        <v>31</v>
      </c>
      <c r="I26" s="507">
        <f>S52</f>
        <v>21</v>
      </c>
      <c r="J26" s="507">
        <f>SUM(T52:U52)</f>
        <v>4</v>
      </c>
      <c r="K26" s="508">
        <f>SUM(B26:J26)</f>
        <v>124</v>
      </c>
    </row>
    <row r="27" spans="1:11" s="22" customFormat="1" ht="18" customHeight="1" x14ac:dyDescent="0.15">
      <c r="A27" s="726"/>
      <c r="B27" s="512">
        <f>B26/B$34</f>
        <v>6.6115702479338841E-3</v>
      </c>
      <c r="C27" s="512">
        <f t="shared" ref="C27:J27" si="12">C26/C$34</f>
        <v>1.3556618819776715E-2</v>
      </c>
      <c r="D27" s="512">
        <f t="shared" si="12"/>
        <v>9.1116173120728925E-3</v>
      </c>
      <c r="E27" s="512">
        <f t="shared" si="12"/>
        <v>9.3299406276505514E-3</v>
      </c>
      <c r="F27" s="512">
        <f t="shared" si="12"/>
        <v>5.8536585365853658E-3</v>
      </c>
      <c r="G27" s="512">
        <f t="shared" si="12"/>
        <v>4.3010752688172043E-3</v>
      </c>
      <c r="H27" s="512">
        <f t="shared" si="12"/>
        <v>9.7392397109644993E-3</v>
      </c>
      <c r="I27" s="512">
        <f t="shared" si="12"/>
        <v>1.3725490196078431E-2</v>
      </c>
      <c r="J27" s="512">
        <f t="shared" si="12"/>
        <v>3.0769230769230769E-3</v>
      </c>
      <c r="K27" s="512">
        <f>K26/K$34</f>
        <v>8.1295482855831634E-3</v>
      </c>
    </row>
    <row r="28" spans="1:11" s="22" customFormat="1" ht="18" customHeight="1" x14ac:dyDescent="0.15">
      <c r="A28" s="725" t="s">
        <v>411</v>
      </c>
      <c r="B28" s="507">
        <f>SUM(B53:D53)</f>
        <v>6</v>
      </c>
      <c r="C28" s="507">
        <f>SUM(E53:F53)</f>
        <v>3</v>
      </c>
      <c r="D28" s="507">
        <f>SUM(G53:J53)</f>
        <v>8</v>
      </c>
      <c r="E28" s="507">
        <f>SUM(K53:L53)</f>
        <v>3</v>
      </c>
      <c r="F28" s="507">
        <f>SUM(M53:N53)</f>
        <v>0</v>
      </c>
      <c r="G28" s="507">
        <f>SUM(O53:Q53)</f>
        <v>2</v>
      </c>
      <c r="H28" s="507">
        <f>R53</f>
        <v>11</v>
      </c>
      <c r="I28" s="507">
        <f>S53</f>
        <v>7</v>
      </c>
      <c r="J28" s="507">
        <f>SUM(T53:U53)</f>
        <v>0</v>
      </c>
      <c r="K28" s="508">
        <f>SUM(B28:J28)</f>
        <v>40</v>
      </c>
    </row>
    <row r="29" spans="1:11" s="22" customFormat="1" ht="26.25" customHeight="1" x14ac:dyDescent="0.15">
      <c r="A29" s="726"/>
      <c r="B29" s="512">
        <f>B28/B$34</f>
        <v>4.9586776859504135E-3</v>
      </c>
      <c r="C29" s="512">
        <f t="shared" ref="C29:J29" si="13">C28/C$34</f>
        <v>2.3923444976076554E-3</v>
      </c>
      <c r="D29" s="512">
        <f t="shared" si="13"/>
        <v>6.0744115413819289E-3</v>
      </c>
      <c r="E29" s="512">
        <f t="shared" si="13"/>
        <v>2.5445292620865142E-3</v>
      </c>
      <c r="F29" s="512">
        <f t="shared" si="13"/>
        <v>0</v>
      </c>
      <c r="G29" s="512">
        <f t="shared" si="13"/>
        <v>6.1443932411674347E-4</v>
      </c>
      <c r="H29" s="512">
        <f t="shared" si="13"/>
        <v>3.4558592522777255E-3</v>
      </c>
      <c r="I29" s="512">
        <f t="shared" si="13"/>
        <v>4.5751633986928107E-3</v>
      </c>
      <c r="J29" s="512">
        <f t="shared" si="13"/>
        <v>0</v>
      </c>
      <c r="K29" s="512">
        <f>K28/K$34</f>
        <v>2.6224349308332788E-3</v>
      </c>
    </row>
    <row r="30" spans="1:11" s="22" customFormat="1" ht="18" customHeight="1" x14ac:dyDescent="0.15">
      <c r="A30" s="725" t="s">
        <v>123</v>
      </c>
      <c r="B30" s="507">
        <f>SUM(B54:D54)</f>
        <v>10</v>
      </c>
      <c r="C30" s="507">
        <f>SUM(E54:F54)</f>
        <v>6</v>
      </c>
      <c r="D30" s="507">
        <f>SUM(G54:J54)</f>
        <v>1</v>
      </c>
      <c r="E30" s="507">
        <f>SUM(K54:L54)</f>
        <v>8</v>
      </c>
      <c r="F30" s="507">
        <f>SUM(M54:N54)</f>
        <v>3</v>
      </c>
      <c r="G30" s="507">
        <f>SUM(O54:Q54)</f>
        <v>9</v>
      </c>
      <c r="H30" s="507">
        <f>R54</f>
        <v>13</v>
      </c>
      <c r="I30" s="507">
        <f>S54</f>
        <v>4</v>
      </c>
      <c r="J30" s="507">
        <f>SUM(T54:U54)</f>
        <v>4</v>
      </c>
      <c r="K30" s="508">
        <f>SUM(B30:J30)</f>
        <v>58</v>
      </c>
    </row>
    <row r="31" spans="1:11" s="22" customFormat="1" ht="18" customHeight="1" x14ac:dyDescent="0.15">
      <c r="A31" s="726"/>
      <c r="B31" s="512">
        <f>B30/B$34</f>
        <v>8.2644628099173556E-3</v>
      </c>
      <c r="C31" s="512">
        <f t="shared" ref="C31:J31" si="14">C30/C$34</f>
        <v>4.7846889952153108E-3</v>
      </c>
      <c r="D31" s="512">
        <f t="shared" si="14"/>
        <v>7.5930144267274111E-4</v>
      </c>
      <c r="E31" s="512">
        <f t="shared" si="14"/>
        <v>6.7854113655640372E-3</v>
      </c>
      <c r="F31" s="512">
        <f t="shared" si="14"/>
        <v>2.9268292682926829E-3</v>
      </c>
      <c r="G31" s="512">
        <f t="shared" si="14"/>
        <v>2.7649769585253456E-3</v>
      </c>
      <c r="H31" s="512">
        <f t="shared" si="14"/>
        <v>4.0841972981464029E-3</v>
      </c>
      <c r="I31" s="512">
        <f t="shared" si="14"/>
        <v>2.6143790849673201E-3</v>
      </c>
      <c r="J31" s="512">
        <f t="shared" si="14"/>
        <v>3.0769230769230769E-3</v>
      </c>
      <c r="K31" s="512">
        <f>K30/K$34</f>
        <v>3.8025306497082539E-3</v>
      </c>
    </row>
    <row r="32" spans="1:11" s="22" customFormat="1" ht="18" customHeight="1" x14ac:dyDescent="0.15">
      <c r="A32" s="725" t="s">
        <v>412</v>
      </c>
      <c r="B32" s="507">
        <f>SUM(B55:D55)</f>
        <v>5</v>
      </c>
      <c r="C32" s="507">
        <f>SUM(E55:F55)</f>
        <v>5</v>
      </c>
      <c r="D32" s="507">
        <f>SUM(G55:J55)</f>
        <v>5</v>
      </c>
      <c r="E32" s="507">
        <f>SUM(K55:L55)</f>
        <v>20</v>
      </c>
      <c r="F32" s="507">
        <f>SUM(M55:N55)</f>
        <v>12</v>
      </c>
      <c r="G32" s="507">
        <f>SUM(O55:Q55)</f>
        <v>23</v>
      </c>
      <c r="H32" s="507">
        <f>R55</f>
        <v>22</v>
      </c>
      <c r="I32" s="507">
        <f>S55</f>
        <v>8</v>
      </c>
      <c r="J32" s="507">
        <f>SUM(T55:U55)</f>
        <v>11</v>
      </c>
      <c r="K32" s="508">
        <f>SUM(B32:J32)</f>
        <v>111</v>
      </c>
    </row>
    <row r="33" spans="1:21" s="22" customFormat="1" ht="18" customHeight="1" x14ac:dyDescent="0.15">
      <c r="A33" s="726"/>
      <c r="B33" s="512">
        <f>B32/B$34</f>
        <v>4.1322314049586778E-3</v>
      </c>
      <c r="C33" s="512">
        <f t="shared" ref="C33:J33" si="15">C32/C$34</f>
        <v>3.9872408293460922E-3</v>
      </c>
      <c r="D33" s="512">
        <f t="shared" si="15"/>
        <v>3.7965072133637054E-3</v>
      </c>
      <c r="E33" s="512">
        <f t="shared" si="15"/>
        <v>1.6963528413910092E-2</v>
      </c>
      <c r="F33" s="512">
        <f t="shared" si="15"/>
        <v>1.1707317073170732E-2</v>
      </c>
      <c r="G33" s="512">
        <f t="shared" si="15"/>
        <v>7.0660522273425499E-3</v>
      </c>
      <c r="H33" s="512">
        <f t="shared" si="15"/>
        <v>6.9117185045554511E-3</v>
      </c>
      <c r="I33" s="512">
        <f t="shared" si="15"/>
        <v>5.2287581699346402E-3</v>
      </c>
      <c r="J33" s="512">
        <f t="shared" si="15"/>
        <v>8.4615384615384613E-3</v>
      </c>
      <c r="K33" s="512">
        <f>K32/K$34</f>
        <v>7.277256933062348E-3</v>
      </c>
    </row>
    <row r="34" spans="1:21" s="22" customFormat="1" ht="18" customHeight="1" x14ac:dyDescent="0.15">
      <c r="A34" s="724" t="s">
        <v>161</v>
      </c>
      <c r="B34" s="620">
        <f>SUM(B6,B8,B10,B12,B14,B16,B18,B20,B22,B24,B26,B28,B30,B32)</f>
        <v>1210</v>
      </c>
      <c r="C34" s="620">
        <f t="shared" ref="C34:J35" si="16">SUM(C6,C8,C10,C12,C14,C16,C18,C20,C22,C24,C26,C28,C30,C32)</f>
        <v>1254</v>
      </c>
      <c r="D34" s="620">
        <f t="shared" si="16"/>
        <v>1317</v>
      </c>
      <c r="E34" s="620">
        <f t="shared" si="16"/>
        <v>1179</v>
      </c>
      <c r="F34" s="620">
        <f t="shared" si="16"/>
        <v>1025</v>
      </c>
      <c r="G34" s="620">
        <f t="shared" si="16"/>
        <v>3255</v>
      </c>
      <c r="H34" s="620">
        <f t="shared" si="16"/>
        <v>3183</v>
      </c>
      <c r="I34" s="620">
        <f t="shared" si="16"/>
        <v>1530</v>
      </c>
      <c r="J34" s="620">
        <f t="shared" si="16"/>
        <v>1300</v>
      </c>
      <c r="K34" s="621">
        <f>SUM(B34:J34)</f>
        <v>15253</v>
      </c>
    </row>
    <row r="35" spans="1:21" s="22" customFormat="1" ht="18" customHeight="1" x14ac:dyDescent="0.15">
      <c r="A35" s="744"/>
      <c r="B35" s="622">
        <f>SUM(B7,B9,B11,B13,B15,B17,B19,B21,B23,B25,B27,B29,B31,B33)</f>
        <v>1</v>
      </c>
      <c r="C35" s="622">
        <f t="shared" si="16"/>
        <v>1</v>
      </c>
      <c r="D35" s="622">
        <f t="shared" si="16"/>
        <v>0.99999999999999989</v>
      </c>
      <c r="E35" s="622">
        <f t="shared" si="16"/>
        <v>0.99999999999999989</v>
      </c>
      <c r="F35" s="622">
        <f t="shared" si="16"/>
        <v>1</v>
      </c>
      <c r="G35" s="622">
        <f t="shared" si="16"/>
        <v>1.0000000000000002</v>
      </c>
      <c r="H35" s="622">
        <f t="shared" si="16"/>
        <v>1</v>
      </c>
      <c r="I35" s="622">
        <f t="shared" si="16"/>
        <v>0.99999999999999989</v>
      </c>
      <c r="J35" s="622">
        <f t="shared" si="16"/>
        <v>1.0000000000000002</v>
      </c>
      <c r="K35" s="622">
        <f>SUM(K7,K9,K11,K13,K15,K17,K19,K21,K23,K25,K27,K29,K31,K33)</f>
        <v>0.99999999999999989</v>
      </c>
    </row>
    <row r="38" spans="1:21" hidden="1" x14ac:dyDescent="0.15">
      <c r="A38" s="538" t="s">
        <v>370</v>
      </c>
      <c r="B38" s="538" t="s">
        <v>384</v>
      </c>
      <c r="C38" s="538" t="s">
        <v>385</v>
      </c>
      <c r="D38" s="538" t="s">
        <v>386</v>
      </c>
      <c r="E38" s="538" t="s">
        <v>387</v>
      </c>
      <c r="F38" s="538" t="s">
        <v>388</v>
      </c>
      <c r="G38" s="538" t="s">
        <v>389</v>
      </c>
      <c r="H38" s="538" t="s">
        <v>390</v>
      </c>
      <c r="I38" s="538" t="s">
        <v>391</v>
      </c>
      <c r="J38" s="538" t="s">
        <v>392</v>
      </c>
      <c r="K38" s="538" t="s">
        <v>393</v>
      </c>
      <c r="L38" s="538" t="s">
        <v>394</v>
      </c>
      <c r="M38" s="538" t="s">
        <v>395</v>
      </c>
      <c r="N38" s="538" t="s">
        <v>396</v>
      </c>
      <c r="O38" s="538" t="s">
        <v>397</v>
      </c>
      <c r="P38" s="538" t="s">
        <v>398</v>
      </c>
      <c r="Q38" s="538" t="s">
        <v>399</v>
      </c>
      <c r="R38" s="538" t="s">
        <v>400</v>
      </c>
      <c r="S38" s="538" t="s">
        <v>401</v>
      </c>
      <c r="T38" s="538" t="s">
        <v>464</v>
      </c>
      <c r="U38" s="55" t="s">
        <v>591</v>
      </c>
    </row>
    <row r="39" spans="1:21" hidden="1" x14ac:dyDescent="0.15">
      <c r="A39" s="54" t="s">
        <v>295</v>
      </c>
      <c r="B39" s="23">
        <v>49</v>
      </c>
      <c r="C39" s="23">
        <v>33</v>
      </c>
      <c r="D39" s="23">
        <v>58</v>
      </c>
      <c r="E39" s="23">
        <v>168</v>
      </c>
      <c r="F39" s="23">
        <v>126</v>
      </c>
      <c r="G39" s="23">
        <v>58</v>
      </c>
      <c r="H39" s="23">
        <v>21</v>
      </c>
      <c r="I39" s="23">
        <v>42</v>
      </c>
      <c r="J39" s="23">
        <v>20</v>
      </c>
      <c r="K39" s="23">
        <v>56</v>
      </c>
      <c r="L39" s="23">
        <v>43</v>
      </c>
      <c r="M39" s="23">
        <v>64</v>
      </c>
      <c r="N39" s="23">
        <v>62</v>
      </c>
      <c r="O39" s="23">
        <v>151</v>
      </c>
      <c r="P39" s="23">
        <v>296</v>
      </c>
      <c r="Q39" s="23">
        <v>234</v>
      </c>
      <c r="R39" s="23">
        <v>310</v>
      </c>
      <c r="S39" s="23">
        <v>196</v>
      </c>
      <c r="T39" s="23">
        <v>123</v>
      </c>
      <c r="U39" s="23">
        <v>6</v>
      </c>
    </row>
    <row r="40" spans="1:21" hidden="1" x14ac:dyDescent="0.15">
      <c r="A40" s="54" t="s">
        <v>284</v>
      </c>
      <c r="B40" s="23">
        <v>6</v>
      </c>
      <c r="C40" s="23">
        <v>6</v>
      </c>
      <c r="D40" s="23">
        <v>2</v>
      </c>
      <c r="E40" s="23">
        <v>20</v>
      </c>
      <c r="F40" s="23">
        <v>16</v>
      </c>
      <c r="G40" s="23">
        <v>12</v>
      </c>
      <c r="H40" s="23">
        <v>8</v>
      </c>
      <c r="I40" s="23">
        <v>5</v>
      </c>
      <c r="J40" s="23">
        <v>4</v>
      </c>
      <c r="K40" s="23">
        <v>9</v>
      </c>
      <c r="L40" s="23">
        <v>3</v>
      </c>
      <c r="M40" s="23">
        <v>3</v>
      </c>
      <c r="N40" s="23">
        <v>7</v>
      </c>
      <c r="O40" s="23">
        <v>15</v>
      </c>
      <c r="P40" s="23">
        <v>49</v>
      </c>
      <c r="Q40" s="23">
        <v>59</v>
      </c>
      <c r="R40" s="23">
        <v>52</v>
      </c>
      <c r="S40" s="23">
        <v>28</v>
      </c>
      <c r="T40" s="23">
        <v>31</v>
      </c>
      <c r="U40" s="23">
        <v>1</v>
      </c>
    </row>
    <row r="41" spans="1:21" hidden="1" x14ac:dyDescent="0.15">
      <c r="A41" s="54" t="s">
        <v>285</v>
      </c>
      <c r="B41" s="23">
        <v>26</v>
      </c>
      <c r="C41" s="23">
        <v>40</v>
      </c>
      <c r="D41" s="23">
        <v>42</v>
      </c>
      <c r="E41" s="23">
        <v>65</v>
      </c>
      <c r="F41" s="23">
        <v>50</v>
      </c>
      <c r="G41" s="23">
        <v>43</v>
      </c>
      <c r="H41" s="23">
        <v>31</v>
      </c>
      <c r="I41" s="23">
        <v>35</v>
      </c>
      <c r="J41" s="23">
        <v>38</v>
      </c>
      <c r="K41" s="23">
        <v>88</v>
      </c>
      <c r="L41" s="23">
        <v>49</v>
      </c>
      <c r="M41" s="23">
        <v>54</v>
      </c>
      <c r="N41" s="23">
        <v>56</v>
      </c>
      <c r="O41" s="23">
        <v>185</v>
      </c>
      <c r="P41" s="23">
        <v>192</v>
      </c>
      <c r="Q41" s="23">
        <v>173</v>
      </c>
      <c r="R41" s="23">
        <v>396</v>
      </c>
      <c r="S41" s="23">
        <v>176</v>
      </c>
      <c r="T41" s="23">
        <v>147</v>
      </c>
      <c r="U41" s="23">
        <v>9</v>
      </c>
    </row>
    <row r="42" spans="1:21" hidden="1" x14ac:dyDescent="0.15">
      <c r="A42" s="54" t="s">
        <v>286</v>
      </c>
      <c r="B42" s="23">
        <v>8</v>
      </c>
      <c r="C42" s="23">
        <v>20</v>
      </c>
      <c r="D42" s="23">
        <v>11</v>
      </c>
      <c r="E42" s="23">
        <v>21</v>
      </c>
      <c r="F42" s="23">
        <v>15</v>
      </c>
      <c r="G42" s="23">
        <v>6</v>
      </c>
      <c r="H42" s="23">
        <v>7</v>
      </c>
      <c r="I42" s="23">
        <v>17</v>
      </c>
      <c r="J42" s="23">
        <v>9</v>
      </c>
      <c r="K42" s="23">
        <v>22</v>
      </c>
      <c r="L42" s="23">
        <v>10</v>
      </c>
      <c r="M42" s="23">
        <v>27</v>
      </c>
      <c r="N42" s="23">
        <v>22</v>
      </c>
      <c r="O42" s="23">
        <v>57</v>
      </c>
      <c r="P42" s="23">
        <v>52</v>
      </c>
      <c r="Q42" s="23">
        <v>27</v>
      </c>
      <c r="R42" s="23">
        <v>176</v>
      </c>
      <c r="S42" s="23">
        <v>106</v>
      </c>
      <c r="T42" s="23">
        <v>75</v>
      </c>
      <c r="U42" s="23">
        <v>8</v>
      </c>
    </row>
    <row r="43" spans="1:21" hidden="1" x14ac:dyDescent="0.15">
      <c r="A43" s="54" t="s">
        <v>200</v>
      </c>
      <c r="B43" s="23"/>
      <c r="C43" s="23">
        <v>1</v>
      </c>
      <c r="D43" s="23">
        <v>1</v>
      </c>
      <c r="E43" s="23"/>
      <c r="F43" s="23">
        <v>3</v>
      </c>
      <c r="G43" s="23">
        <v>3</v>
      </c>
      <c r="H43" s="23"/>
      <c r="I43" s="23"/>
      <c r="J43" s="23">
        <v>1</v>
      </c>
      <c r="K43" s="23">
        <v>2</v>
      </c>
      <c r="L43" s="23">
        <v>1</v>
      </c>
      <c r="M43" s="23">
        <v>4</v>
      </c>
      <c r="N43" s="23">
        <v>4</v>
      </c>
      <c r="O43" s="23">
        <v>2</v>
      </c>
      <c r="P43" s="23">
        <v>4</v>
      </c>
      <c r="Q43" s="23">
        <v>3</v>
      </c>
      <c r="R43" s="23">
        <v>16</v>
      </c>
      <c r="S43" s="23">
        <v>6</v>
      </c>
      <c r="T43" s="23">
        <v>2</v>
      </c>
      <c r="U43" s="23">
        <v>1</v>
      </c>
    </row>
    <row r="44" spans="1:21" hidden="1" x14ac:dyDescent="0.15">
      <c r="A44" s="54" t="s">
        <v>201</v>
      </c>
      <c r="B44" s="23"/>
      <c r="C44" s="23">
        <v>6</v>
      </c>
      <c r="D44" s="23">
        <v>2</v>
      </c>
      <c r="E44" s="23">
        <v>1</v>
      </c>
      <c r="F44" s="23"/>
      <c r="G44" s="23">
        <v>1</v>
      </c>
      <c r="H44" s="23">
        <v>1</v>
      </c>
      <c r="I44" s="23">
        <v>1</v>
      </c>
      <c r="J44" s="23"/>
      <c r="K44" s="23">
        <v>4</v>
      </c>
      <c r="L44" s="23">
        <v>1</v>
      </c>
      <c r="M44" s="23">
        <v>1</v>
      </c>
      <c r="N44" s="23">
        <v>7</v>
      </c>
      <c r="O44" s="23">
        <v>1</v>
      </c>
      <c r="P44" s="23">
        <v>13</v>
      </c>
      <c r="Q44" s="23">
        <v>4</v>
      </c>
      <c r="R44" s="23">
        <v>26</v>
      </c>
      <c r="S44" s="23">
        <v>4</v>
      </c>
      <c r="T44" s="23">
        <v>4</v>
      </c>
      <c r="U44" s="23">
        <v>3</v>
      </c>
    </row>
    <row r="45" spans="1:21" hidden="1" x14ac:dyDescent="0.15">
      <c r="A45" s="54" t="s">
        <v>287</v>
      </c>
      <c r="B45" s="23">
        <v>185</v>
      </c>
      <c r="C45" s="23">
        <v>272</v>
      </c>
      <c r="D45" s="23">
        <v>228</v>
      </c>
      <c r="E45" s="23">
        <v>328</v>
      </c>
      <c r="F45" s="23">
        <v>274</v>
      </c>
      <c r="G45" s="23">
        <v>224</v>
      </c>
      <c r="H45" s="23">
        <v>158</v>
      </c>
      <c r="I45" s="23">
        <v>196</v>
      </c>
      <c r="J45" s="23">
        <v>153</v>
      </c>
      <c r="K45" s="23">
        <v>405</v>
      </c>
      <c r="L45" s="23">
        <v>259</v>
      </c>
      <c r="M45" s="23">
        <v>244</v>
      </c>
      <c r="N45" s="23">
        <v>286</v>
      </c>
      <c r="O45" s="23">
        <v>378</v>
      </c>
      <c r="P45" s="23">
        <v>520</v>
      </c>
      <c r="Q45" s="23">
        <v>374</v>
      </c>
      <c r="R45" s="23">
        <v>1661</v>
      </c>
      <c r="S45" s="23">
        <v>748</v>
      </c>
      <c r="T45" s="23">
        <v>627</v>
      </c>
      <c r="U45" s="23">
        <v>66</v>
      </c>
    </row>
    <row r="46" spans="1:21" hidden="1" x14ac:dyDescent="0.15">
      <c r="A46" s="54" t="s">
        <v>288</v>
      </c>
      <c r="B46" s="23">
        <v>18</v>
      </c>
      <c r="C46" s="23">
        <v>27</v>
      </c>
      <c r="D46" s="23">
        <v>31</v>
      </c>
      <c r="E46" s="23">
        <v>31</v>
      </c>
      <c r="F46" s="23">
        <v>19</v>
      </c>
      <c r="G46" s="23">
        <v>21</v>
      </c>
      <c r="H46" s="23">
        <v>13</v>
      </c>
      <c r="I46" s="23">
        <v>25</v>
      </c>
      <c r="J46" s="23">
        <v>20</v>
      </c>
      <c r="K46" s="23">
        <v>33</v>
      </c>
      <c r="L46" s="23">
        <v>38</v>
      </c>
      <c r="M46" s="23">
        <v>32</v>
      </c>
      <c r="N46" s="23">
        <v>34</v>
      </c>
      <c r="O46" s="23">
        <v>51</v>
      </c>
      <c r="P46" s="23">
        <v>74</v>
      </c>
      <c r="Q46" s="23">
        <v>28</v>
      </c>
      <c r="R46" s="23">
        <v>162</v>
      </c>
      <c r="S46" s="23">
        <v>85</v>
      </c>
      <c r="T46" s="23">
        <v>55</v>
      </c>
      <c r="U46" s="23">
        <v>2</v>
      </c>
    </row>
    <row r="47" spans="1:21" hidden="1" x14ac:dyDescent="0.15">
      <c r="A47" s="54" t="s">
        <v>289</v>
      </c>
      <c r="B47" s="23">
        <v>17</v>
      </c>
      <c r="C47" s="23">
        <v>15</v>
      </c>
      <c r="D47" s="23">
        <v>26</v>
      </c>
      <c r="E47" s="23">
        <v>20</v>
      </c>
      <c r="F47" s="23">
        <v>22</v>
      </c>
      <c r="G47" s="23">
        <v>28</v>
      </c>
      <c r="H47" s="23">
        <v>13</v>
      </c>
      <c r="I47" s="23">
        <v>8</v>
      </c>
      <c r="J47" s="23">
        <v>16</v>
      </c>
      <c r="K47" s="23">
        <v>49</v>
      </c>
      <c r="L47" s="23">
        <v>15</v>
      </c>
      <c r="M47" s="23">
        <v>25</v>
      </c>
      <c r="N47" s="23">
        <v>28</v>
      </c>
      <c r="O47" s="23">
        <v>37</v>
      </c>
      <c r="P47" s="23">
        <v>58</v>
      </c>
      <c r="Q47" s="23">
        <v>52</v>
      </c>
      <c r="R47" s="23">
        <v>159</v>
      </c>
      <c r="S47" s="23">
        <v>89</v>
      </c>
      <c r="T47" s="23">
        <v>52</v>
      </c>
      <c r="U47" s="23">
        <v>1</v>
      </c>
    </row>
    <row r="48" spans="1:21" hidden="1" x14ac:dyDescent="0.15">
      <c r="A48" s="54" t="s">
        <v>290</v>
      </c>
      <c r="B48" s="23">
        <v>10</v>
      </c>
      <c r="C48" s="23">
        <v>5</v>
      </c>
      <c r="D48" s="23">
        <v>8</v>
      </c>
      <c r="E48" s="23">
        <v>5</v>
      </c>
      <c r="F48" s="23">
        <v>6</v>
      </c>
      <c r="G48" s="23">
        <v>9</v>
      </c>
      <c r="H48" s="23">
        <v>6</v>
      </c>
      <c r="I48" s="23">
        <v>8</v>
      </c>
      <c r="J48" s="23">
        <v>3</v>
      </c>
      <c r="K48" s="23">
        <v>8</v>
      </c>
      <c r="L48" s="23">
        <v>11</v>
      </c>
      <c r="M48" s="23">
        <v>9</v>
      </c>
      <c r="N48" s="23">
        <v>13</v>
      </c>
      <c r="O48" s="23">
        <v>12</v>
      </c>
      <c r="P48" s="23">
        <v>14</v>
      </c>
      <c r="Q48" s="23">
        <v>10</v>
      </c>
      <c r="R48" s="23">
        <v>62</v>
      </c>
      <c r="S48" s="23">
        <v>20</v>
      </c>
      <c r="T48" s="23">
        <v>26</v>
      </c>
      <c r="U48" s="23">
        <v>3</v>
      </c>
    </row>
    <row r="49" spans="1:21" hidden="1" x14ac:dyDescent="0.15">
      <c r="A49" s="54" t="s">
        <v>291</v>
      </c>
      <c r="B49" s="23">
        <v>1</v>
      </c>
      <c r="C49" s="23">
        <v>3</v>
      </c>
      <c r="D49" s="23">
        <v>3</v>
      </c>
      <c r="E49" s="23"/>
      <c r="F49" s="23">
        <v>1</v>
      </c>
      <c r="G49" s="23">
        <v>1</v>
      </c>
      <c r="H49" s="23"/>
      <c r="I49" s="23"/>
      <c r="J49" s="23"/>
      <c r="K49" s="23">
        <v>2</v>
      </c>
      <c r="L49" s="23"/>
      <c r="M49" s="23">
        <v>3</v>
      </c>
      <c r="N49" s="23"/>
      <c r="O49" s="23">
        <v>3</v>
      </c>
      <c r="P49" s="23">
        <v>3</v>
      </c>
      <c r="Q49" s="23">
        <v>2</v>
      </c>
      <c r="R49" s="23">
        <v>15</v>
      </c>
      <c r="S49" s="23">
        <v>3</v>
      </c>
      <c r="T49" s="23">
        <v>9</v>
      </c>
      <c r="U49" s="23"/>
    </row>
    <row r="50" spans="1:21" hidden="1" x14ac:dyDescent="0.15">
      <c r="A50" s="54" t="s">
        <v>296</v>
      </c>
      <c r="B50" s="23"/>
      <c r="C50" s="23"/>
      <c r="D50" s="23">
        <v>1</v>
      </c>
      <c r="E50" s="23">
        <v>3</v>
      </c>
      <c r="F50" s="23">
        <v>3</v>
      </c>
      <c r="G50" s="23">
        <v>1</v>
      </c>
      <c r="H50" s="23">
        <v>1</v>
      </c>
      <c r="I50" s="23">
        <v>1</v>
      </c>
      <c r="J50" s="23">
        <v>1</v>
      </c>
      <c r="K50" s="23">
        <v>7</v>
      </c>
      <c r="L50" s="23">
        <v>1</v>
      </c>
      <c r="M50" s="23">
        <v>1</v>
      </c>
      <c r="N50" s="23"/>
      <c r="O50" s="23">
        <v>2</v>
      </c>
      <c r="P50" s="23">
        <v>3</v>
      </c>
      <c r="Q50" s="23">
        <v>2</v>
      </c>
      <c r="R50" s="23">
        <v>11</v>
      </c>
      <c r="S50" s="23">
        <v>4</v>
      </c>
      <c r="T50" s="23">
        <v>6</v>
      </c>
      <c r="U50" s="23">
        <v>2</v>
      </c>
    </row>
    <row r="51" spans="1:21" hidden="1" x14ac:dyDescent="0.15">
      <c r="A51" s="54" t="s">
        <v>292</v>
      </c>
      <c r="B51" s="23">
        <v>10</v>
      </c>
      <c r="C51" s="23">
        <v>6</v>
      </c>
      <c r="D51" s="23">
        <v>4</v>
      </c>
      <c r="E51" s="23">
        <v>17</v>
      </c>
      <c r="F51" s="23">
        <v>9</v>
      </c>
      <c r="G51" s="23">
        <v>13</v>
      </c>
      <c r="H51" s="23">
        <v>2</v>
      </c>
      <c r="I51" s="23">
        <v>4</v>
      </c>
      <c r="J51" s="23">
        <v>3</v>
      </c>
      <c r="K51" s="23">
        <v>13</v>
      </c>
      <c r="L51" s="23">
        <v>8</v>
      </c>
      <c r="M51" s="23">
        <v>9</v>
      </c>
      <c r="N51" s="23">
        <v>9</v>
      </c>
      <c r="O51" s="23">
        <v>15</v>
      </c>
      <c r="P51" s="23">
        <v>27</v>
      </c>
      <c r="Q51" s="23">
        <v>25</v>
      </c>
      <c r="R51" s="23">
        <v>60</v>
      </c>
      <c r="S51" s="23">
        <v>25</v>
      </c>
      <c r="T51" s="23">
        <v>18</v>
      </c>
      <c r="U51" s="23">
        <v>4</v>
      </c>
    </row>
    <row r="52" spans="1:21" hidden="1" x14ac:dyDescent="0.15">
      <c r="A52" s="54" t="s">
        <v>293</v>
      </c>
      <c r="B52" s="23">
        <v>1</v>
      </c>
      <c r="C52" s="23">
        <v>4</v>
      </c>
      <c r="D52" s="23">
        <v>3</v>
      </c>
      <c r="E52" s="23">
        <v>9</v>
      </c>
      <c r="F52" s="23">
        <v>8</v>
      </c>
      <c r="G52" s="23">
        <v>2</v>
      </c>
      <c r="H52" s="23">
        <v>6</v>
      </c>
      <c r="I52" s="23"/>
      <c r="J52" s="23">
        <v>4</v>
      </c>
      <c r="K52" s="23">
        <v>8</v>
      </c>
      <c r="L52" s="23">
        <v>3</v>
      </c>
      <c r="M52" s="23">
        <v>1</v>
      </c>
      <c r="N52" s="23">
        <v>5</v>
      </c>
      <c r="O52" s="23">
        <v>7</v>
      </c>
      <c r="P52" s="23">
        <v>2</v>
      </c>
      <c r="Q52" s="23">
        <v>5</v>
      </c>
      <c r="R52" s="23">
        <v>31</v>
      </c>
      <c r="S52" s="23">
        <v>21</v>
      </c>
      <c r="T52" s="23">
        <v>4</v>
      </c>
      <c r="U52" s="23"/>
    </row>
    <row r="53" spans="1:21" hidden="1" x14ac:dyDescent="0.15">
      <c r="A53" s="54" t="s">
        <v>297</v>
      </c>
      <c r="B53" s="23">
        <v>1</v>
      </c>
      <c r="C53" s="23">
        <v>1</v>
      </c>
      <c r="D53" s="23">
        <v>4</v>
      </c>
      <c r="E53" s="23">
        <v>2</v>
      </c>
      <c r="F53" s="23">
        <v>1</v>
      </c>
      <c r="G53" s="23">
        <v>2</v>
      </c>
      <c r="H53" s="23">
        <v>3</v>
      </c>
      <c r="I53" s="23">
        <v>1</v>
      </c>
      <c r="J53" s="23">
        <v>2</v>
      </c>
      <c r="K53" s="23">
        <v>2</v>
      </c>
      <c r="L53" s="23">
        <v>1</v>
      </c>
      <c r="M53" s="23"/>
      <c r="N53" s="23"/>
      <c r="O53" s="23">
        <v>1</v>
      </c>
      <c r="P53" s="23"/>
      <c r="Q53" s="23">
        <v>1</v>
      </c>
      <c r="R53" s="23">
        <v>11</v>
      </c>
      <c r="S53" s="23">
        <v>7</v>
      </c>
      <c r="T53" s="23"/>
      <c r="U53" s="23"/>
    </row>
    <row r="54" spans="1:21" hidden="1" x14ac:dyDescent="0.15">
      <c r="A54" s="43" t="s">
        <v>294</v>
      </c>
      <c r="B54" s="23">
        <v>2</v>
      </c>
      <c r="C54" s="23">
        <v>3</v>
      </c>
      <c r="D54" s="23">
        <v>5</v>
      </c>
      <c r="E54" s="23">
        <v>4</v>
      </c>
      <c r="F54" s="23">
        <v>2</v>
      </c>
      <c r="G54" s="23">
        <v>1</v>
      </c>
      <c r="H54" s="23"/>
      <c r="I54" s="23"/>
      <c r="J54" s="23"/>
      <c r="K54" s="23">
        <v>2</v>
      </c>
      <c r="L54" s="23">
        <v>6</v>
      </c>
      <c r="M54" s="23">
        <v>2</v>
      </c>
      <c r="N54" s="23">
        <v>1</v>
      </c>
      <c r="O54" s="23"/>
      <c r="P54" s="23">
        <v>7</v>
      </c>
      <c r="Q54" s="23">
        <v>2</v>
      </c>
      <c r="R54" s="23">
        <v>13</v>
      </c>
      <c r="S54" s="23">
        <v>4</v>
      </c>
      <c r="T54" s="23">
        <v>4</v>
      </c>
      <c r="U54" s="23"/>
    </row>
    <row r="55" spans="1:21" hidden="1" x14ac:dyDescent="0.15">
      <c r="A55" s="54" t="s">
        <v>18</v>
      </c>
      <c r="B55" s="23">
        <v>1</v>
      </c>
      <c r="C55" s="23">
        <v>3</v>
      </c>
      <c r="D55" s="23">
        <v>1</v>
      </c>
      <c r="E55" s="23">
        <v>1</v>
      </c>
      <c r="F55" s="23">
        <v>4</v>
      </c>
      <c r="G55" s="23">
        <v>1</v>
      </c>
      <c r="H55" s="23">
        <v>2</v>
      </c>
      <c r="I55" s="23">
        <v>1</v>
      </c>
      <c r="J55" s="23">
        <v>1</v>
      </c>
      <c r="K55" s="23">
        <v>8</v>
      </c>
      <c r="L55" s="23">
        <v>12</v>
      </c>
      <c r="M55" s="23">
        <v>6</v>
      </c>
      <c r="N55" s="23">
        <v>6</v>
      </c>
      <c r="O55" s="23">
        <v>4</v>
      </c>
      <c r="P55" s="23">
        <v>11</v>
      </c>
      <c r="Q55" s="23">
        <v>8</v>
      </c>
      <c r="R55" s="23">
        <v>22</v>
      </c>
      <c r="S55" s="23">
        <v>8</v>
      </c>
      <c r="T55" s="23">
        <v>9</v>
      </c>
      <c r="U55" s="23">
        <v>2</v>
      </c>
    </row>
    <row r="56" spans="1:21" hidden="1" x14ac:dyDescent="0.15">
      <c r="A56" s="1" t="s">
        <v>262</v>
      </c>
      <c r="B56" s="1">
        <v>335</v>
      </c>
      <c r="C56" s="1">
        <v>445</v>
      </c>
      <c r="D56" s="1">
        <v>430</v>
      </c>
      <c r="E56" s="1">
        <v>695</v>
      </c>
      <c r="F56" s="1">
        <v>559</v>
      </c>
      <c r="G56" s="1">
        <v>426</v>
      </c>
      <c r="H56" s="1">
        <v>272</v>
      </c>
      <c r="I56" s="1">
        <v>344</v>
      </c>
      <c r="J56" s="1">
        <v>275</v>
      </c>
      <c r="K56" s="1">
        <v>718</v>
      </c>
      <c r="L56" s="1">
        <v>461</v>
      </c>
      <c r="M56" s="1">
        <v>485</v>
      </c>
      <c r="N56" s="1">
        <v>540</v>
      </c>
      <c r="O56" s="1">
        <v>921</v>
      </c>
      <c r="P56" s="1">
        <v>1325</v>
      </c>
      <c r="Q56" s="1">
        <v>1009</v>
      </c>
      <c r="R56" s="1">
        <v>3183</v>
      </c>
      <c r="S56" s="1">
        <v>1530</v>
      </c>
      <c r="T56" s="1">
        <v>1192</v>
      </c>
      <c r="U56" s="1">
        <v>108</v>
      </c>
    </row>
  </sheetData>
  <mergeCells count="16">
    <mergeCell ref="A14:A15"/>
    <mergeCell ref="A4:A5"/>
    <mergeCell ref="A6:A7"/>
    <mergeCell ref="A8:A9"/>
    <mergeCell ref="A10:A11"/>
    <mergeCell ref="A12:A13"/>
    <mergeCell ref="A28:A29"/>
    <mergeCell ref="A30:A31"/>
    <mergeCell ref="A32:A33"/>
    <mergeCell ref="A34:A35"/>
    <mergeCell ref="A16:A17"/>
    <mergeCell ref="A18:A19"/>
    <mergeCell ref="A20:A21"/>
    <mergeCell ref="A22:A23"/>
    <mergeCell ref="A24:A25"/>
    <mergeCell ref="A26:A27"/>
  </mergeCells>
  <phoneticPr fontId="2"/>
  <printOptions horizontalCentered="1"/>
  <pageMargins left="0.70866141732283472" right="0.70866141732283472" top="0.74803149606299213" bottom="0.74803149606299213" header="0.31496062992125984" footer="0.31496062992125984"/>
  <pageSetup paperSize="9" scale="77" orientation="portrait" r:id="rId1"/>
  <ignoredErrors>
    <ignoredError sqref="B33:K33 K12:K32 B5:K5" formula="1"/>
    <ignoredError sqref="B12:J32 B6:K11" formula="1"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Button 1">
              <controlPr defaultSize="0" print="0" autoFill="0" autoPict="0" macro="[0]!データ削除33">
                <anchor moveWithCells="1" sizeWithCells="1">
                  <from>
                    <xdr:col>12</xdr:col>
                    <xdr:colOff>66675</xdr:colOff>
                    <xdr:row>33</xdr:row>
                    <xdr:rowOff>38100</xdr:rowOff>
                  </from>
                  <to>
                    <xdr:col>15</xdr:col>
                    <xdr:colOff>276225</xdr:colOff>
                    <xdr:row>35</xdr:row>
                    <xdr:rowOff>200025</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tabColor theme="5" tint="0.39997558519241921"/>
    <pageSetUpPr fitToPage="1"/>
  </sheetPr>
  <dimension ref="A1:U67"/>
  <sheetViews>
    <sheetView showGridLines="0" zoomScale="70" zoomScaleNormal="70" zoomScaleSheetLayoutView="100" workbookViewId="0">
      <selection activeCell="V74" sqref="V74"/>
    </sheetView>
  </sheetViews>
  <sheetFormatPr defaultColWidth="13.75" defaultRowHeight="18.75" x14ac:dyDescent="0.15"/>
  <cols>
    <col min="1" max="1" width="15.625" style="1" customWidth="1"/>
    <col min="2" max="11" width="8.75" style="1" customWidth="1"/>
    <col min="12" max="16" width="7.25" style="1" hidden="1" customWidth="1"/>
    <col min="17" max="21" width="7.25" style="1" customWidth="1"/>
    <col min="22" max="16384" width="13.75" style="1"/>
  </cols>
  <sheetData>
    <row r="1" spans="1:11" s="3" customFormat="1" ht="19.5" x14ac:dyDescent="0.15">
      <c r="A1" s="2" t="s">
        <v>469</v>
      </c>
    </row>
    <row r="2" spans="1:11" x14ac:dyDescent="0.15">
      <c r="A2" s="4"/>
    </row>
    <row r="3" spans="1:11" ht="37.5" x14ac:dyDescent="0.15">
      <c r="A3" s="506"/>
      <c r="B3" s="506" t="s">
        <v>376</v>
      </c>
      <c r="C3" s="506" t="s">
        <v>377</v>
      </c>
      <c r="D3" s="506" t="s">
        <v>378</v>
      </c>
      <c r="E3" s="506" t="s">
        <v>379</v>
      </c>
      <c r="F3" s="506" t="s">
        <v>380</v>
      </c>
      <c r="G3" s="506" t="s">
        <v>381</v>
      </c>
      <c r="H3" s="506" t="s">
        <v>382</v>
      </c>
      <c r="I3" s="506" t="s">
        <v>383</v>
      </c>
      <c r="J3" s="535" t="s">
        <v>463</v>
      </c>
      <c r="K3" s="506" t="s">
        <v>62</v>
      </c>
    </row>
    <row r="4" spans="1:11" s="22" customFormat="1" ht="18.75" customHeight="1" x14ac:dyDescent="0.15">
      <c r="A4" s="729" t="s">
        <v>60</v>
      </c>
      <c r="B4" s="507">
        <f>SUM(B50:D50)</f>
        <v>148</v>
      </c>
      <c r="C4" s="507">
        <f>SUM(E50:F50)</f>
        <v>125</v>
      </c>
      <c r="D4" s="507">
        <f>SUM(G50:J50)</f>
        <v>160</v>
      </c>
      <c r="E4" s="507">
        <f>SUM(K50:L50)</f>
        <v>184</v>
      </c>
      <c r="F4" s="507">
        <f>SUM(M50:N50)</f>
        <v>110</v>
      </c>
      <c r="G4" s="507">
        <f>SUM(O50:Q50)</f>
        <v>222</v>
      </c>
      <c r="H4" s="507">
        <f>R50</f>
        <v>445</v>
      </c>
      <c r="I4" s="507">
        <f>S50</f>
        <v>191</v>
      </c>
      <c r="J4" s="507">
        <f>SUM(T50:U50)</f>
        <v>119</v>
      </c>
      <c r="K4" s="508">
        <f>SUM(B4:J4)</f>
        <v>1704</v>
      </c>
    </row>
    <row r="5" spans="1:11" s="22" customFormat="1" ht="18.75" customHeight="1" x14ac:dyDescent="0.15">
      <c r="A5" s="745"/>
      <c r="B5" s="512">
        <f>B4/B$36</f>
        <v>0.12231404958677686</v>
      </c>
      <c r="C5" s="512">
        <f t="shared" ref="C5:J5" si="0">C4/C$36</f>
        <v>9.9681020733652315E-2</v>
      </c>
      <c r="D5" s="512">
        <f t="shared" si="0"/>
        <v>0.12148823082763857</v>
      </c>
      <c r="E5" s="512">
        <f t="shared" si="0"/>
        <v>0.15606446140797287</v>
      </c>
      <c r="F5" s="512">
        <f t="shared" si="0"/>
        <v>0.10731707317073171</v>
      </c>
      <c r="G5" s="512">
        <f t="shared" si="0"/>
        <v>6.8202764976958527E-2</v>
      </c>
      <c r="H5" s="512">
        <f t="shared" si="0"/>
        <v>0.13980521520578071</v>
      </c>
      <c r="I5" s="512">
        <f t="shared" si="0"/>
        <v>0.12483660130718954</v>
      </c>
      <c r="J5" s="512">
        <f t="shared" si="0"/>
        <v>9.1538461538461541E-2</v>
      </c>
      <c r="K5" s="512">
        <f>K4/K$36</f>
        <v>0.11171572805349768</v>
      </c>
    </row>
    <row r="6" spans="1:11" s="22" customFormat="1" ht="18.75" customHeight="1" x14ac:dyDescent="0.15">
      <c r="A6" s="527" t="s">
        <v>414</v>
      </c>
      <c r="B6" s="507">
        <f>SUM(B51:D51)</f>
        <v>152</v>
      </c>
      <c r="C6" s="507">
        <f>SUM(E51:F51)</f>
        <v>140</v>
      </c>
      <c r="D6" s="507">
        <f>SUM(G51:J51)</f>
        <v>198</v>
      </c>
      <c r="E6" s="507">
        <f>SUM(K51:L51)</f>
        <v>181</v>
      </c>
      <c r="F6" s="507">
        <f>SUM(M51:N51)</f>
        <v>108</v>
      </c>
      <c r="G6" s="507">
        <f>SUM(O51:Q51)</f>
        <v>251</v>
      </c>
      <c r="H6" s="507">
        <f>R51</f>
        <v>432</v>
      </c>
      <c r="I6" s="507">
        <f>S51</f>
        <v>205</v>
      </c>
      <c r="J6" s="507">
        <f>SUM(T51:U51)</f>
        <v>146</v>
      </c>
      <c r="K6" s="508">
        <f>SUM(B6:J6)</f>
        <v>1813</v>
      </c>
    </row>
    <row r="7" spans="1:11" s="22" customFormat="1" ht="18.75" customHeight="1" x14ac:dyDescent="0.15">
      <c r="A7" s="528" t="s">
        <v>415</v>
      </c>
      <c r="B7" s="512">
        <f>B6/B$36</f>
        <v>0.12561983471074381</v>
      </c>
      <c r="C7" s="512">
        <f t="shared" ref="C7:J7" si="1">C6/C$36</f>
        <v>0.11164274322169059</v>
      </c>
      <c r="D7" s="512">
        <f t="shared" si="1"/>
        <v>0.15034168564920272</v>
      </c>
      <c r="E7" s="512">
        <f t="shared" si="1"/>
        <v>0.15351993214588636</v>
      </c>
      <c r="F7" s="512">
        <f t="shared" si="1"/>
        <v>0.10536585365853658</v>
      </c>
      <c r="G7" s="512">
        <f t="shared" si="1"/>
        <v>7.7112135176651303E-2</v>
      </c>
      <c r="H7" s="512">
        <f t="shared" si="1"/>
        <v>0.1357210179076343</v>
      </c>
      <c r="I7" s="512">
        <f t="shared" si="1"/>
        <v>0.13398692810457516</v>
      </c>
      <c r="J7" s="512">
        <f t="shared" si="1"/>
        <v>0.1123076923076923</v>
      </c>
      <c r="K7" s="512">
        <f>K6/K$36</f>
        <v>0.11886186324001835</v>
      </c>
    </row>
    <row r="8" spans="1:11" s="22" customFormat="1" ht="18.75" customHeight="1" x14ac:dyDescent="0.15">
      <c r="A8" s="527" t="s">
        <v>416</v>
      </c>
      <c r="B8" s="507">
        <f>SUM(B52:D52)</f>
        <v>100</v>
      </c>
      <c r="C8" s="507">
        <f>SUM(E52:F52)</f>
        <v>120</v>
      </c>
      <c r="D8" s="507">
        <f>SUM(G52:J52)</f>
        <v>112</v>
      </c>
      <c r="E8" s="507">
        <f>SUM(K52:L52)</f>
        <v>97</v>
      </c>
      <c r="F8" s="507">
        <f>SUM(M52:N52)</f>
        <v>93</v>
      </c>
      <c r="G8" s="507">
        <f>SUM(O52:Q52)</f>
        <v>256</v>
      </c>
      <c r="H8" s="507">
        <f>R52</f>
        <v>268</v>
      </c>
      <c r="I8" s="507">
        <f>S52</f>
        <v>113</v>
      </c>
      <c r="J8" s="507">
        <f>SUM(T52:U52)</f>
        <v>81</v>
      </c>
      <c r="K8" s="508">
        <f>SUM(B8:J8)</f>
        <v>1240</v>
      </c>
    </row>
    <row r="9" spans="1:11" s="22" customFormat="1" ht="18.75" customHeight="1" x14ac:dyDescent="0.15">
      <c r="A9" s="528" t="s">
        <v>417</v>
      </c>
      <c r="B9" s="512">
        <f>B8/B$36</f>
        <v>8.2644628099173556E-2</v>
      </c>
      <c r="C9" s="512">
        <f t="shared" ref="C9:J9" si="2">C8/C$36</f>
        <v>9.569377990430622E-2</v>
      </c>
      <c r="D9" s="512">
        <f t="shared" si="2"/>
        <v>8.5041761579346994E-2</v>
      </c>
      <c r="E9" s="512">
        <f t="shared" si="2"/>
        <v>8.2273112807463952E-2</v>
      </c>
      <c r="F9" s="512">
        <f t="shared" si="2"/>
        <v>9.0731707317073168E-2</v>
      </c>
      <c r="G9" s="512">
        <f t="shared" si="2"/>
        <v>7.8648233486943164E-2</v>
      </c>
      <c r="H9" s="512">
        <f t="shared" si="2"/>
        <v>8.4197298146402769E-2</v>
      </c>
      <c r="I9" s="512">
        <f t="shared" si="2"/>
        <v>7.3856209150326799E-2</v>
      </c>
      <c r="J9" s="512">
        <f t="shared" si="2"/>
        <v>6.2307692307692307E-2</v>
      </c>
      <c r="K9" s="512">
        <f>K8/K$36</f>
        <v>8.1295482855831644E-2</v>
      </c>
    </row>
    <row r="10" spans="1:11" s="22" customFormat="1" ht="18.75" customHeight="1" x14ac:dyDescent="0.15">
      <c r="A10" s="527" t="s">
        <v>418</v>
      </c>
      <c r="B10" s="507">
        <f>SUM(B53:D53)</f>
        <v>98</v>
      </c>
      <c r="C10" s="507">
        <f>SUM(E53:F53)</f>
        <v>136</v>
      </c>
      <c r="D10" s="507">
        <f>SUM(G53:J53)</f>
        <v>121</v>
      </c>
      <c r="E10" s="507">
        <f>SUM(K53:L53)</f>
        <v>108</v>
      </c>
      <c r="F10" s="507">
        <f>SUM(M53:N53)</f>
        <v>121</v>
      </c>
      <c r="G10" s="507">
        <f>SUM(O53:Q53)</f>
        <v>348</v>
      </c>
      <c r="H10" s="507">
        <f>R53</f>
        <v>279</v>
      </c>
      <c r="I10" s="507">
        <f>S53</f>
        <v>122</v>
      </c>
      <c r="J10" s="507">
        <f>SUM(T53:U53)</f>
        <v>101</v>
      </c>
      <c r="K10" s="508">
        <f>SUM(B10:J10)</f>
        <v>1434</v>
      </c>
    </row>
    <row r="11" spans="1:11" s="22" customFormat="1" ht="18.75" customHeight="1" x14ac:dyDescent="0.15">
      <c r="A11" s="528" t="s">
        <v>69</v>
      </c>
      <c r="B11" s="512">
        <f>B10/B$36</f>
        <v>8.0991735537190079E-2</v>
      </c>
      <c r="C11" s="512">
        <f t="shared" ref="C11:J11" si="3">C10/C$36</f>
        <v>0.10845295055821372</v>
      </c>
      <c r="D11" s="512">
        <f t="shared" si="3"/>
        <v>9.1875474563401671E-2</v>
      </c>
      <c r="E11" s="512">
        <f t="shared" si="3"/>
        <v>9.1603053435114504E-2</v>
      </c>
      <c r="F11" s="512">
        <f t="shared" si="3"/>
        <v>0.11804878048780487</v>
      </c>
      <c r="G11" s="512">
        <f t="shared" si="3"/>
        <v>0.10691244239631337</v>
      </c>
      <c r="H11" s="512">
        <f t="shared" si="3"/>
        <v>8.7653157398680487E-2</v>
      </c>
      <c r="I11" s="512">
        <f t="shared" si="3"/>
        <v>7.9738562091503262E-2</v>
      </c>
      <c r="J11" s="512">
        <f t="shared" si="3"/>
        <v>7.7692307692307686E-2</v>
      </c>
      <c r="K11" s="512">
        <f>K10/K$36</f>
        <v>9.4014292270373043E-2</v>
      </c>
    </row>
    <row r="12" spans="1:11" s="22" customFormat="1" ht="18.75" customHeight="1" x14ac:dyDescent="0.15">
      <c r="A12" s="527" t="s">
        <v>419</v>
      </c>
      <c r="B12" s="507">
        <f>SUM(B54:D54)</f>
        <v>58</v>
      </c>
      <c r="C12" s="507">
        <f>SUM(E54:F54)</f>
        <v>89</v>
      </c>
      <c r="D12" s="507">
        <f>SUM(G54:J54)</f>
        <v>88</v>
      </c>
      <c r="E12" s="507">
        <f>SUM(K54:L54)</f>
        <v>67</v>
      </c>
      <c r="F12" s="507">
        <f>SUM(M54:N54)</f>
        <v>68</v>
      </c>
      <c r="G12" s="507">
        <f>SUM(O54:Q54)</f>
        <v>262</v>
      </c>
      <c r="H12" s="507">
        <f>R54</f>
        <v>213</v>
      </c>
      <c r="I12" s="507">
        <f>S54</f>
        <v>85</v>
      </c>
      <c r="J12" s="507">
        <f>SUM(T54:U54)</f>
        <v>78</v>
      </c>
      <c r="K12" s="508">
        <f>SUM(B12:J12)</f>
        <v>1008</v>
      </c>
    </row>
    <row r="13" spans="1:11" s="22" customFormat="1" ht="18.75" customHeight="1" x14ac:dyDescent="0.15">
      <c r="A13" s="528" t="s">
        <v>420</v>
      </c>
      <c r="B13" s="512">
        <f>B12/B$36</f>
        <v>4.7933884297520664E-2</v>
      </c>
      <c r="C13" s="512">
        <f t="shared" ref="C13:J13" si="4">C12/C$36</f>
        <v>7.0972886762360451E-2</v>
      </c>
      <c r="D13" s="512">
        <f t="shared" si="4"/>
        <v>6.6818526955201213E-2</v>
      </c>
      <c r="E13" s="512">
        <f t="shared" si="4"/>
        <v>5.6827820186598814E-2</v>
      </c>
      <c r="F13" s="512">
        <f t="shared" si="4"/>
        <v>6.634146341463415E-2</v>
      </c>
      <c r="G13" s="512">
        <f t="shared" si="4"/>
        <v>8.049155145929339E-2</v>
      </c>
      <c r="H13" s="512">
        <f t="shared" si="4"/>
        <v>6.6918001885014136E-2</v>
      </c>
      <c r="I13" s="512">
        <f t="shared" si="4"/>
        <v>5.5555555555555552E-2</v>
      </c>
      <c r="J13" s="512">
        <f t="shared" si="4"/>
        <v>0.06</v>
      </c>
      <c r="K13" s="512">
        <f>K12/K$36</f>
        <v>6.6085360256998626E-2</v>
      </c>
    </row>
    <row r="14" spans="1:11" s="22" customFormat="1" ht="18.75" customHeight="1" x14ac:dyDescent="0.15">
      <c r="A14" s="527" t="s">
        <v>421</v>
      </c>
      <c r="B14" s="507">
        <f>SUM(B55:D55)</f>
        <v>60</v>
      </c>
      <c r="C14" s="507">
        <f>SUM(E55:F55)</f>
        <v>80</v>
      </c>
      <c r="D14" s="507">
        <f>SUM(G55:J55)</f>
        <v>81</v>
      </c>
      <c r="E14" s="507">
        <f>SUM(K55:L55)</f>
        <v>63</v>
      </c>
      <c r="F14" s="507">
        <f>SUM(M55:N55)</f>
        <v>56</v>
      </c>
      <c r="G14" s="507">
        <f>SUM(O55:Q55)</f>
        <v>228</v>
      </c>
      <c r="H14" s="507">
        <f>R55</f>
        <v>152</v>
      </c>
      <c r="I14" s="507">
        <f>S55</f>
        <v>80</v>
      </c>
      <c r="J14" s="507">
        <f>SUM(T55:U55)</f>
        <v>63</v>
      </c>
      <c r="K14" s="508">
        <f>SUM(B14:J14)</f>
        <v>863</v>
      </c>
    </row>
    <row r="15" spans="1:11" s="22" customFormat="1" ht="18.75" customHeight="1" x14ac:dyDescent="0.15">
      <c r="A15" s="528" t="s">
        <v>422</v>
      </c>
      <c r="B15" s="512">
        <f>B14/B$36</f>
        <v>4.9586776859504134E-2</v>
      </c>
      <c r="C15" s="512">
        <f t="shared" ref="C15:J15" si="5">C14/C$36</f>
        <v>6.3795853269537475E-2</v>
      </c>
      <c r="D15" s="512">
        <f t="shared" si="5"/>
        <v>6.1503416856492028E-2</v>
      </c>
      <c r="E15" s="512">
        <f t="shared" si="5"/>
        <v>5.3435114503816793E-2</v>
      </c>
      <c r="F15" s="512">
        <f t="shared" si="5"/>
        <v>5.4634146341463415E-2</v>
      </c>
      <c r="G15" s="512">
        <f t="shared" si="5"/>
        <v>7.0046082949308752E-2</v>
      </c>
      <c r="H15" s="512">
        <f t="shared" si="5"/>
        <v>4.7753691486019476E-2</v>
      </c>
      <c r="I15" s="512">
        <f t="shared" si="5"/>
        <v>5.2287581699346407E-2</v>
      </c>
      <c r="J15" s="512">
        <f t="shared" si="5"/>
        <v>4.8461538461538459E-2</v>
      </c>
      <c r="K15" s="512">
        <f>K14/K$36</f>
        <v>5.6579033632727989E-2</v>
      </c>
    </row>
    <row r="16" spans="1:11" s="22" customFormat="1" ht="18.75" customHeight="1" x14ac:dyDescent="0.15">
      <c r="A16" s="527" t="s">
        <v>423</v>
      </c>
      <c r="B16" s="507">
        <f>SUM(B56:D56)</f>
        <v>95</v>
      </c>
      <c r="C16" s="507">
        <f>SUM(E56:F56)</f>
        <v>119</v>
      </c>
      <c r="D16" s="507">
        <f>SUM(G56:J56)</f>
        <v>99</v>
      </c>
      <c r="E16" s="507">
        <f>SUM(K56:L56)</f>
        <v>115</v>
      </c>
      <c r="F16" s="507">
        <f>SUM(M56:N56)</f>
        <v>68</v>
      </c>
      <c r="G16" s="507">
        <f>SUM(O56:Q56)</f>
        <v>319</v>
      </c>
      <c r="H16" s="507">
        <f>R56</f>
        <v>261</v>
      </c>
      <c r="I16" s="507">
        <f>S56</f>
        <v>100</v>
      </c>
      <c r="J16" s="507">
        <f>SUM(T56:U56)</f>
        <v>95</v>
      </c>
      <c r="K16" s="508">
        <f>SUM(B16:J16)</f>
        <v>1271</v>
      </c>
    </row>
    <row r="17" spans="1:11" s="22" customFormat="1" ht="18.75" customHeight="1" x14ac:dyDescent="0.15">
      <c r="A17" s="528" t="s">
        <v>424</v>
      </c>
      <c r="B17" s="545">
        <f>B16/B$36</f>
        <v>7.8512396694214878E-2</v>
      </c>
      <c r="C17" s="545">
        <f t="shared" ref="C17:J17" si="6">C16/C$36</f>
        <v>9.4896331738437006E-2</v>
      </c>
      <c r="D17" s="545">
        <f t="shared" si="6"/>
        <v>7.5170842824601361E-2</v>
      </c>
      <c r="E17" s="545">
        <f t="shared" si="6"/>
        <v>9.7540288379983034E-2</v>
      </c>
      <c r="F17" s="545">
        <f t="shared" si="6"/>
        <v>6.634146341463415E-2</v>
      </c>
      <c r="G17" s="545">
        <f t="shared" si="6"/>
        <v>9.8003072196620578E-2</v>
      </c>
      <c r="H17" s="545">
        <f t="shared" si="6"/>
        <v>8.1998114985862389E-2</v>
      </c>
      <c r="I17" s="545">
        <f t="shared" si="6"/>
        <v>6.535947712418301E-2</v>
      </c>
      <c r="J17" s="545">
        <f t="shared" si="6"/>
        <v>7.3076923076923081E-2</v>
      </c>
      <c r="K17" s="545">
        <f>K16/K$36</f>
        <v>8.3327869927227433E-2</v>
      </c>
    </row>
    <row r="18" spans="1:11" s="22" customFormat="1" ht="18.75" customHeight="1" x14ac:dyDescent="0.15">
      <c r="A18" s="546" t="s">
        <v>425</v>
      </c>
      <c r="B18" s="507">
        <f>SUM(B57:D57)</f>
        <v>86</v>
      </c>
      <c r="C18" s="507">
        <f>SUM(E57:F57)</f>
        <v>104</v>
      </c>
      <c r="D18" s="507">
        <f>SUM(G57:J57)</f>
        <v>84</v>
      </c>
      <c r="E18" s="507">
        <f>SUM(K57:L57)</f>
        <v>65</v>
      </c>
      <c r="F18" s="507">
        <f>SUM(M57:N57)</f>
        <v>54</v>
      </c>
      <c r="G18" s="507">
        <f>SUM(O57:Q57)</f>
        <v>245</v>
      </c>
      <c r="H18" s="507">
        <f>R57</f>
        <v>166</v>
      </c>
      <c r="I18" s="507">
        <f>S57</f>
        <v>88</v>
      </c>
      <c r="J18" s="507">
        <f>SUM(T57:U57)</f>
        <v>116</v>
      </c>
      <c r="K18" s="508">
        <f>SUM(B18:J18)</f>
        <v>1008</v>
      </c>
    </row>
    <row r="19" spans="1:11" s="22" customFormat="1" ht="18.75" customHeight="1" x14ac:dyDescent="0.15">
      <c r="A19" s="547" t="s">
        <v>426</v>
      </c>
      <c r="B19" s="512">
        <f>B18/B$36</f>
        <v>7.1074380165289261E-2</v>
      </c>
      <c r="C19" s="512">
        <f t="shared" ref="C19:J19" si="7">C18/C$36</f>
        <v>8.2934609250398722E-2</v>
      </c>
      <c r="D19" s="512">
        <f t="shared" si="7"/>
        <v>6.3781321184510256E-2</v>
      </c>
      <c r="E19" s="512">
        <f t="shared" si="7"/>
        <v>5.5131467345207803E-2</v>
      </c>
      <c r="F19" s="512">
        <f t="shared" si="7"/>
        <v>5.2682926829268291E-2</v>
      </c>
      <c r="G19" s="512">
        <f t="shared" si="7"/>
        <v>7.5268817204301078E-2</v>
      </c>
      <c r="H19" s="512">
        <f t="shared" si="7"/>
        <v>5.2152057807100222E-2</v>
      </c>
      <c r="I19" s="512">
        <f t="shared" si="7"/>
        <v>5.7516339869281043E-2</v>
      </c>
      <c r="J19" s="512">
        <f t="shared" si="7"/>
        <v>8.9230769230769225E-2</v>
      </c>
      <c r="K19" s="512">
        <f>K18/K$36</f>
        <v>6.6085360256998626E-2</v>
      </c>
    </row>
    <row r="20" spans="1:11" s="22" customFormat="1" ht="18.75" customHeight="1" x14ac:dyDescent="0.15">
      <c r="A20" s="527" t="s">
        <v>427</v>
      </c>
      <c r="B20" s="507">
        <f>SUM(B58:D58)</f>
        <v>65</v>
      </c>
      <c r="C20" s="507">
        <f>SUM(E58:F58)</f>
        <v>55</v>
      </c>
      <c r="D20" s="507">
        <f>SUM(G58:J58)</f>
        <v>61</v>
      </c>
      <c r="E20" s="507">
        <f>SUM(K58:L58)</f>
        <v>48</v>
      </c>
      <c r="F20" s="507">
        <f>SUM(M58:N58)</f>
        <v>45</v>
      </c>
      <c r="G20" s="507">
        <f>SUM(O58:Q58)</f>
        <v>205</v>
      </c>
      <c r="H20" s="507">
        <f>R58</f>
        <v>129</v>
      </c>
      <c r="I20" s="507">
        <f>S58</f>
        <v>59</v>
      </c>
      <c r="J20" s="507">
        <f>SUM(T58:U58)</f>
        <v>64</v>
      </c>
      <c r="K20" s="508">
        <f>SUM(B20:J20)</f>
        <v>731</v>
      </c>
    </row>
    <row r="21" spans="1:11" s="22" customFormat="1" ht="18.75" customHeight="1" x14ac:dyDescent="0.15">
      <c r="A21" s="528" t="s">
        <v>428</v>
      </c>
      <c r="B21" s="512">
        <f>B20/B$36</f>
        <v>5.3719008264462811E-2</v>
      </c>
      <c r="C21" s="512">
        <f t="shared" ref="C21:J21" si="8">C20/C$36</f>
        <v>4.3859649122807015E-2</v>
      </c>
      <c r="D21" s="512">
        <f t="shared" si="8"/>
        <v>4.6317388003037203E-2</v>
      </c>
      <c r="E21" s="512">
        <f t="shared" si="8"/>
        <v>4.0712468193384227E-2</v>
      </c>
      <c r="F21" s="512">
        <f t="shared" si="8"/>
        <v>4.3902439024390241E-2</v>
      </c>
      <c r="G21" s="512">
        <f t="shared" si="8"/>
        <v>6.2980030721966201E-2</v>
      </c>
      <c r="H21" s="512">
        <f t="shared" si="8"/>
        <v>4.0527803958529687E-2</v>
      </c>
      <c r="I21" s="512">
        <f t="shared" si="8"/>
        <v>3.8562091503267976E-2</v>
      </c>
      <c r="J21" s="512">
        <f t="shared" si="8"/>
        <v>4.9230769230769231E-2</v>
      </c>
      <c r="K21" s="512">
        <f>K20/K$36</f>
        <v>4.7924998360978167E-2</v>
      </c>
    </row>
    <row r="22" spans="1:11" s="22" customFormat="1" ht="18.75" customHeight="1" x14ac:dyDescent="0.15">
      <c r="A22" s="527" t="s">
        <v>429</v>
      </c>
      <c r="B22" s="507">
        <f>SUM(B59:D59)</f>
        <v>47</v>
      </c>
      <c r="C22" s="507">
        <f>SUM(E59:F59)</f>
        <v>42</v>
      </c>
      <c r="D22" s="507">
        <f>SUM(G59:J59)</f>
        <v>39</v>
      </c>
      <c r="E22" s="507">
        <f>SUM(K59:L59)</f>
        <v>26</v>
      </c>
      <c r="F22" s="507">
        <f>SUM(M59:N59)</f>
        <v>37</v>
      </c>
      <c r="G22" s="507">
        <f>SUM(O59:Q59)</f>
        <v>128</v>
      </c>
      <c r="H22" s="507">
        <f>R59</f>
        <v>90</v>
      </c>
      <c r="I22" s="507">
        <f>S59</f>
        <v>42</v>
      </c>
      <c r="J22" s="507">
        <f>SUM(T59:U59)</f>
        <v>47</v>
      </c>
      <c r="K22" s="508">
        <f>SUM(B22:J22)</f>
        <v>498</v>
      </c>
    </row>
    <row r="23" spans="1:11" s="22" customFormat="1" ht="18.75" customHeight="1" x14ac:dyDescent="0.15">
      <c r="A23" s="528" t="s">
        <v>430</v>
      </c>
      <c r="B23" s="512">
        <f>B22/B$36</f>
        <v>3.884297520661157E-2</v>
      </c>
      <c r="C23" s="512">
        <f t="shared" ref="C23:J23" si="9">C22/C$36</f>
        <v>3.3492822966507178E-2</v>
      </c>
      <c r="D23" s="512">
        <f t="shared" si="9"/>
        <v>2.9612756264236904E-2</v>
      </c>
      <c r="E23" s="512">
        <f t="shared" si="9"/>
        <v>2.2052586938083121E-2</v>
      </c>
      <c r="F23" s="512">
        <f t="shared" si="9"/>
        <v>3.6097560975609753E-2</v>
      </c>
      <c r="G23" s="512">
        <f t="shared" si="9"/>
        <v>3.9324116743471582E-2</v>
      </c>
      <c r="H23" s="512">
        <f t="shared" si="9"/>
        <v>2.827521206409048E-2</v>
      </c>
      <c r="I23" s="512">
        <f t="shared" si="9"/>
        <v>2.7450980392156862E-2</v>
      </c>
      <c r="J23" s="512">
        <f t="shared" si="9"/>
        <v>3.6153846153846154E-2</v>
      </c>
      <c r="K23" s="512">
        <f>K22/K$36</f>
        <v>3.264931488887432E-2</v>
      </c>
    </row>
    <row r="24" spans="1:11" s="22" customFormat="1" ht="18.75" customHeight="1" x14ac:dyDescent="0.15">
      <c r="A24" s="527" t="s">
        <v>431</v>
      </c>
      <c r="B24" s="507">
        <f>SUM(B60:D60)</f>
        <v>41</v>
      </c>
      <c r="C24" s="507">
        <f>SUM(E60:F60)</f>
        <v>22</v>
      </c>
      <c r="D24" s="507">
        <f>SUM(G60:J60)</f>
        <v>41</v>
      </c>
      <c r="E24" s="507">
        <f>SUM(K60:L60)</f>
        <v>32</v>
      </c>
      <c r="F24" s="507">
        <f>SUM(M60:N60)</f>
        <v>34</v>
      </c>
      <c r="G24" s="507">
        <f>SUM(O60:Q60)</f>
        <v>109</v>
      </c>
      <c r="H24" s="507">
        <f>R60</f>
        <v>80</v>
      </c>
      <c r="I24" s="507">
        <f>S60</f>
        <v>41</v>
      </c>
      <c r="J24" s="507">
        <f>SUM(T60:U60)</f>
        <v>37</v>
      </c>
      <c r="K24" s="508">
        <f>SUM(B24:J24)</f>
        <v>437</v>
      </c>
    </row>
    <row r="25" spans="1:11" s="22" customFormat="1" ht="18.75" customHeight="1" x14ac:dyDescent="0.15">
      <c r="A25" s="528" t="s">
        <v>432</v>
      </c>
      <c r="B25" s="512">
        <f>B24/B$36</f>
        <v>3.3884297520661154E-2</v>
      </c>
      <c r="C25" s="512">
        <f t="shared" ref="C25:J25" si="10">C24/C$36</f>
        <v>1.7543859649122806E-2</v>
      </c>
      <c r="D25" s="512">
        <f t="shared" si="10"/>
        <v>3.1131359149582385E-2</v>
      </c>
      <c r="E25" s="512">
        <f t="shared" si="10"/>
        <v>2.7141645462256149E-2</v>
      </c>
      <c r="F25" s="512">
        <f t="shared" si="10"/>
        <v>3.3170731707317075E-2</v>
      </c>
      <c r="G25" s="512">
        <f t="shared" si="10"/>
        <v>3.3486943164362522E-2</v>
      </c>
      <c r="H25" s="512">
        <f t="shared" si="10"/>
        <v>2.5133521834747093E-2</v>
      </c>
      <c r="I25" s="512">
        <f t="shared" si="10"/>
        <v>2.6797385620915031E-2</v>
      </c>
      <c r="J25" s="512">
        <f t="shared" si="10"/>
        <v>2.8461538461538462E-2</v>
      </c>
      <c r="K25" s="512">
        <f>K24/K$36</f>
        <v>2.8650101619353569E-2</v>
      </c>
    </row>
    <row r="26" spans="1:11" s="22" customFormat="1" ht="18.75" customHeight="1" x14ac:dyDescent="0.15">
      <c r="A26" s="527" t="s">
        <v>433</v>
      </c>
      <c r="B26" s="507">
        <f>SUM(B61:D61)</f>
        <v>34</v>
      </c>
      <c r="C26" s="507">
        <f>SUM(E61:F61)</f>
        <v>29</v>
      </c>
      <c r="D26" s="507">
        <f>SUM(G61:J61)</f>
        <v>30</v>
      </c>
      <c r="E26" s="507">
        <f>SUM(K61:L61)</f>
        <v>17</v>
      </c>
      <c r="F26" s="507">
        <f>SUM(M61:N61)</f>
        <v>30</v>
      </c>
      <c r="G26" s="507">
        <f>SUM(O61:Q61)</f>
        <v>90</v>
      </c>
      <c r="H26" s="507">
        <f>R61</f>
        <v>73</v>
      </c>
      <c r="I26" s="507">
        <f>S61</f>
        <v>35</v>
      </c>
      <c r="J26" s="507">
        <f>SUM(T61:U61)</f>
        <v>47</v>
      </c>
      <c r="K26" s="508">
        <f>SUM(B26:J26)</f>
        <v>385</v>
      </c>
    </row>
    <row r="27" spans="1:11" s="22" customFormat="1" ht="18.75" customHeight="1" x14ac:dyDescent="0.15">
      <c r="A27" s="528" t="s">
        <v>434</v>
      </c>
      <c r="B27" s="512">
        <f>B26/B$36</f>
        <v>2.809917355371901E-2</v>
      </c>
      <c r="C27" s="512">
        <f t="shared" ref="C27:J27" si="11">C26/C$36</f>
        <v>2.3125996810207338E-2</v>
      </c>
      <c r="D27" s="512">
        <f t="shared" si="11"/>
        <v>2.2779043280182234E-2</v>
      </c>
      <c r="E27" s="512">
        <f t="shared" si="11"/>
        <v>1.441899915182358E-2</v>
      </c>
      <c r="F27" s="512">
        <f t="shared" si="11"/>
        <v>2.9268292682926831E-2</v>
      </c>
      <c r="G27" s="512">
        <f t="shared" si="11"/>
        <v>2.7649769585253458E-2</v>
      </c>
      <c r="H27" s="512">
        <f t="shared" si="11"/>
        <v>2.2934338674206724E-2</v>
      </c>
      <c r="I27" s="512">
        <f t="shared" si="11"/>
        <v>2.2875816993464051E-2</v>
      </c>
      <c r="J27" s="512">
        <f t="shared" si="11"/>
        <v>3.6153846153846154E-2</v>
      </c>
      <c r="K27" s="512">
        <f>K26/K$36</f>
        <v>2.5240936209270308E-2</v>
      </c>
    </row>
    <row r="28" spans="1:11" s="22" customFormat="1" ht="18.75" customHeight="1" x14ac:dyDescent="0.15">
      <c r="A28" s="527" t="s">
        <v>435</v>
      </c>
      <c r="B28" s="507">
        <f>SUM(B62:D62)</f>
        <v>20</v>
      </c>
      <c r="C28" s="507">
        <f>SUM(E62:F62)</f>
        <v>17</v>
      </c>
      <c r="D28" s="507">
        <f>SUM(G62:J62)</f>
        <v>29</v>
      </c>
      <c r="E28" s="507">
        <f>SUM(K62:L62)</f>
        <v>20</v>
      </c>
      <c r="F28" s="507">
        <f>SUM(M62:N62)</f>
        <v>20</v>
      </c>
      <c r="G28" s="507">
        <f>SUM(O62:Q62)</f>
        <v>72</v>
      </c>
      <c r="H28" s="507">
        <f>R62</f>
        <v>68</v>
      </c>
      <c r="I28" s="507">
        <f>S62</f>
        <v>33</v>
      </c>
      <c r="J28" s="507">
        <f>SUM(T62:U62)</f>
        <v>27</v>
      </c>
      <c r="K28" s="508">
        <f>SUM(B28:J28)</f>
        <v>306</v>
      </c>
    </row>
    <row r="29" spans="1:11" s="22" customFormat="1" ht="18.75" customHeight="1" x14ac:dyDescent="0.15">
      <c r="A29" s="528" t="s">
        <v>436</v>
      </c>
      <c r="B29" s="512">
        <f>B28/B$36</f>
        <v>1.6528925619834711E-2</v>
      </c>
      <c r="C29" s="512">
        <f t="shared" ref="C29:J29" si="12">C28/C$36</f>
        <v>1.3556618819776715E-2</v>
      </c>
      <c r="D29" s="512">
        <f t="shared" si="12"/>
        <v>2.2019741837509491E-2</v>
      </c>
      <c r="E29" s="512">
        <f t="shared" si="12"/>
        <v>1.6963528413910092E-2</v>
      </c>
      <c r="F29" s="512">
        <f t="shared" si="12"/>
        <v>1.9512195121951219E-2</v>
      </c>
      <c r="G29" s="512">
        <f t="shared" si="12"/>
        <v>2.2119815668202765E-2</v>
      </c>
      <c r="H29" s="512">
        <f t="shared" si="12"/>
        <v>2.136349355953503E-2</v>
      </c>
      <c r="I29" s="512">
        <f t="shared" si="12"/>
        <v>2.1568627450980392E-2</v>
      </c>
      <c r="J29" s="512">
        <f t="shared" si="12"/>
        <v>2.0769230769230769E-2</v>
      </c>
      <c r="K29" s="512">
        <f>K28/K$36</f>
        <v>2.0061627220874581E-2</v>
      </c>
    </row>
    <row r="30" spans="1:11" s="22" customFormat="1" ht="18.75" customHeight="1" x14ac:dyDescent="0.15">
      <c r="A30" s="527" t="s">
        <v>437</v>
      </c>
      <c r="B30" s="507">
        <f>SUM(B63:D63)</f>
        <v>19</v>
      </c>
      <c r="C30" s="507">
        <f>SUM(E63:F63)</f>
        <v>15</v>
      </c>
      <c r="D30" s="507">
        <f>SUM(G63:J63)</f>
        <v>15</v>
      </c>
      <c r="E30" s="507">
        <f>SUM(K63:L63)</f>
        <v>24</v>
      </c>
      <c r="F30" s="507">
        <f>SUM(M63:N63)</f>
        <v>20</v>
      </c>
      <c r="G30" s="507">
        <f>SUM(O63:Q63)</f>
        <v>67</v>
      </c>
      <c r="H30" s="507">
        <f>R63</f>
        <v>53</v>
      </c>
      <c r="I30" s="507">
        <f>S63</f>
        <v>40</v>
      </c>
      <c r="J30" s="507">
        <f>SUM(T63:U63)</f>
        <v>33</v>
      </c>
      <c r="K30" s="508">
        <f>SUM(B30:J30)</f>
        <v>286</v>
      </c>
    </row>
    <row r="31" spans="1:11" s="22" customFormat="1" ht="18.75" customHeight="1" x14ac:dyDescent="0.15">
      <c r="A31" s="528" t="s">
        <v>438</v>
      </c>
      <c r="B31" s="512">
        <f>B30/B$36</f>
        <v>1.5702479338842976E-2</v>
      </c>
      <c r="C31" s="512">
        <f t="shared" ref="C31:J31" si="13">C30/C$36</f>
        <v>1.1961722488038277E-2</v>
      </c>
      <c r="D31" s="512">
        <f t="shared" si="13"/>
        <v>1.1389521640091117E-2</v>
      </c>
      <c r="E31" s="512">
        <f t="shared" si="13"/>
        <v>2.0356234096692113E-2</v>
      </c>
      <c r="F31" s="512">
        <f t="shared" si="13"/>
        <v>1.9512195121951219E-2</v>
      </c>
      <c r="G31" s="512">
        <f t="shared" si="13"/>
        <v>2.0583717357910907E-2</v>
      </c>
      <c r="H31" s="512">
        <f t="shared" si="13"/>
        <v>1.665095821551995E-2</v>
      </c>
      <c r="I31" s="512">
        <f t="shared" si="13"/>
        <v>2.6143790849673203E-2</v>
      </c>
      <c r="J31" s="512">
        <f t="shared" si="13"/>
        <v>2.5384615384615384E-2</v>
      </c>
      <c r="K31" s="512">
        <f>K30/K$36</f>
        <v>1.8750409755457942E-2</v>
      </c>
    </row>
    <row r="32" spans="1:11" s="22" customFormat="1" ht="18.75" customHeight="1" x14ac:dyDescent="0.15">
      <c r="A32" s="527" t="s">
        <v>439</v>
      </c>
      <c r="B32" s="507">
        <f>SUM(B64:D64)</f>
        <v>108</v>
      </c>
      <c r="C32" s="507">
        <f>SUM(E64:F64)</f>
        <v>118</v>
      </c>
      <c r="D32" s="507">
        <f>SUM(G64:J64)</f>
        <v>114</v>
      </c>
      <c r="E32" s="507">
        <f>SUM(K64:L64)</f>
        <v>83</v>
      </c>
      <c r="F32" s="507">
        <f>SUM(M64:N64)</f>
        <v>115</v>
      </c>
      <c r="G32" s="507">
        <f>SUM(O64:Q64)</f>
        <v>285</v>
      </c>
      <c r="H32" s="507">
        <f>R64</f>
        <v>287</v>
      </c>
      <c r="I32" s="507">
        <f>S64</f>
        <v>160</v>
      </c>
      <c r="J32" s="507">
        <f>SUM(T64:U64)</f>
        <v>143</v>
      </c>
      <c r="K32" s="508">
        <f>SUM(B32:J32)</f>
        <v>1413</v>
      </c>
    </row>
    <row r="33" spans="1:11" s="22" customFormat="1" ht="18.75" customHeight="1" x14ac:dyDescent="0.15">
      <c r="A33" s="528" t="s">
        <v>440</v>
      </c>
      <c r="B33" s="512">
        <f>B32/B$36</f>
        <v>8.9256198347107435E-2</v>
      </c>
      <c r="C33" s="512">
        <f t="shared" ref="C33:J33" si="14">C32/C$36</f>
        <v>9.4098883572567779E-2</v>
      </c>
      <c r="D33" s="512">
        <f t="shared" si="14"/>
        <v>8.656036446469248E-2</v>
      </c>
      <c r="E33" s="512">
        <f t="shared" si="14"/>
        <v>7.0398642917726892E-2</v>
      </c>
      <c r="F33" s="512">
        <f t="shared" si="14"/>
        <v>0.11219512195121951</v>
      </c>
      <c r="G33" s="512">
        <f t="shared" si="14"/>
        <v>8.755760368663594E-2</v>
      </c>
      <c r="H33" s="512">
        <f t="shared" si="14"/>
        <v>9.0166509582155205E-2</v>
      </c>
      <c r="I33" s="512">
        <f t="shared" si="14"/>
        <v>0.10457516339869281</v>
      </c>
      <c r="J33" s="512">
        <f t="shared" si="14"/>
        <v>0.11</v>
      </c>
      <c r="K33" s="512">
        <f>K32/K$36</f>
        <v>9.2637513931685567E-2</v>
      </c>
    </row>
    <row r="34" spans="1:11" s="22" customFormat="1" ht="18.75" customHeight="1" x14ac:dyDescent="0.15">
      <c r="A34" s="729" t="s">
        <v>61</v>
      </c>
      <c r="B34" s="507">
        <f>SUM(B65:D65)</f>
        <v>79</v>
      </c>
      <c r="C34" s="507">
        <f>SUM(E65:F65)</f>
        <v>43</v>
      </c>
      <c r="D34" s="507">
        <f>SUM(G65:J65)</f>
        <v>45</v>
      </c>
      <c r="E34" s="507">
        <f>SUM(K65:L65)</f>
        <v>49</v>
      </c>
      <c r="F34" s="507">
        <f>SUM(M65:N65)</f>
        <v>46</v>
      </c>
      <c r="G34" s="507">
        <f>SUM(O65:Q65)</f>
        <v>168</v>
      </c>
      <c r="H34" s="507">
        <f>R65</f>
        <v>187</v>
      </c>
      <c r="I34" s="507">
        <f>S65</f>
        <v>136</v>
      </c>
      <c r="J34" s="507">
        <f>SUM(T65:U65)</f>
        <v>103</v>
      </c>
      <c r="K34" s="508">
        <f>SUM(B34:J34)</f>
        <v>856</v>
      </c>
    </row>
    <row r="35" spans="1:11" s="22" customFormat="1" ht="18.75" customHeight="1" x14ac:dyDescent="0.15">
      <c r="A35" s="745"/>
      <c r="B35" s="512">
        <f>B34/B$36</f>
        <v>6.5289256198347106E-2</v>
      </c>
      <c r="C35" s="512">
        <f t="shared" ref="C35:J35" si="15">C34/C$36</f>
        <v>3.4290271132376399E-2</v>
      </c>
      <c r="D35" s="512">
        <f t="shared" si="15"/>
        <v>3.4168564920273349E-2</v>
      </c>
      <c r="E35" s="512">
        <f t="shared" si="15"/>
        <v>4.1560644614079725E-2</v>
      </c>
      <c r="F35" s="512">
        <f t="shared" si="15"/>
        <v>4.4878048780487803E-2</v>
      </c>
      <c r="G35" s="512">
        <f t="shared" si="15"/>
        <v>5.1612903225806452E-2</v>
      </c>
      <c r="H35" s="512">
        <f t="shared" si="15"/>
        <v>5.8749607288721334E-2</v>
      </c>
      <c r="I35" s="512">
        <f t="shared" si="15"/>
        <v>8.8888888888888892E-2</v>
      </c>
      <c r="J35" s="512">
        <f t="shared" si="15"/>
        <v>7.923076923076923E-2</v>
      </c>
      <c r="K35" s="512">
        <f>K34/K$36</f>
        <v>5.6120107519832166E-2</v>
      </c>
    </row>
    <row r="36" spans="1:11" s="22" customFormat="1" ht="18.75" customHeight="1" x14ac:dyDescent="0.15">
      <c r="A36" s="742" t="s">
        <v>11</v>
      </c>
      <c r="B36" s="620">
        <f>SUM(B4,B6,B8,B10,B12,B14,B16,B18,B20,B22,B24,B26,B28,B30,B32,B34)</f>
        <v>1210</v>
      </c>
      <c r="C36" s="620">
        <f t="shared" ref="C36:J37" si="16">SUM(C4,C6,C8,C10,C12,C14,C16,C18,C20,C22,C24,C26,C28,C30,C32,C34)</f>
        <v>1254</v>
      </c>
      <c r="D36" s="620">
        <f t="shared" si="16"/>
        <v>1317</v>
      </c>
      <c r="E36" s="620">
        <f t="shared" si="16"/>
        <v>1179</v>
      </c>
      <c r="F36" s="620">
        <f t="shared" si="16"/>
        <v>1025</v>
      </c>
      <c r="G36" s="620">
        <f t="shared" si="16"/>
        <v>3255</v>
      </c>
      <c r="H36" s="620">
        <f t="shared" si="16"/>
        <v>3183</v>
      </c>
      <c r="I36" s="620">
        <f t="shared" si="16"/>
        <v>1530</v>
      </c>
      <c r="J36" s="620">
        <f t="shared" si="16"/>
        <v>1300</v>
      </c>
      <c r="K36" s="621">
        <f>SUM(B36:J36)</f>
        <v>15253</v>
      </c>
    </row>
    <row r="37" spans="1:11" s="22" customFormat="1" ht="18.75" customHeight="1" x14ac:dyDescent="0.15">
      <c r="A37" s="743"/>
      <c r="B37" s="622">
        <f t="shared" ref="B37:I37" si="17">SUM(B5,B7,B9,B11,B13,B15,B17,B19,B21,B23,B25,B27,B29,B31,B33,B35)</f>
        <v>1</v>
      </c>
      <c r="C37" s="622">
        <f t="shared" si="17"/>
        <v>1.0000000000000002</v>
      </c>
      <c r="D37" s="622">
        <f t="shared" si="17"/>
        <v>1.0000000000000002</v>
      </c>
      <c r="E37" s="622">
        <f t="shared" si="17"/>
        <v>1</v>
      </c>
      <c r="F37" s="622">
        <f t="shared" si="17"/>
        <v>1.0000000000000002</v>
      </c>
      <c r="G37" s="622">
        <f t="shared" si="17"/>
        <v>0.99999999999999989</v>
      </c>
      <c r="H37" s="622">
        <f t="shared" si="17"/>
        <v>1</v>
      </c>
      <c r="I37" s="622">
        <f t="shared" si="17"/>
        <v>1</v>
      </c>
      <c r="J37" s="622">
        <f t="shared" si="16"/>
        <v>0.99999999999999989</v>
      </c>
      <c r="K37" s="622">
        <f>SUM(K5,K7,K9,K11,K13,K15,K17,K19,K21,K23,K25,K27,K29,K31,K33,K35)</f>
        <v>1</v>
      </c>
    </row>
    <row r="38" spans="1:11" s="6" customFormat="1" ht="18.75" customHeight="1" x14ac:dyDescent="0.15">
      <c r="A38" s="746" t="s">
        <v>56</v>
      </c>
      <c r="B38" s="507">
        <f>SUM(B4,B6,B8,B10)</f>
        <v>498</v>
      </c>
      <c r="C38" s="507">
        <f t="shared" ref="C38:J38" si="18">SUM(C4,C6,C8,C10)</f>
        <v>521</v>
      </c>
      <c r="D38" s="507">
        <f t="shared" si="18"/>
        <v>591</v>
      </c>
      <c r="E38" s="507">
        <f t="shared" si="18"/>
        <v>570</v>
      </c>
      <c r="F38" s="507">
        <f t="shared" si="18"/>
        <v>432</v>
      </c>
      <c r="G38" s="507">
        <f t="shared" si="18"/>
        <v>1077</v>
      </c>
      <c r="H38" s="507">
        <f t="shared" si="18"/>
        <v>1424</v>
      </c>
      <c r="I38" s="507">
        <f t="shared" si="18"/>
        <v>631</v>
      </c>
      <c r="J38" s="507">
        <f t="shared" si="18"/>
        <v>447</v>
      </c>
      <c r="K38" s="508">
        <f>SUM(B38:J38)</f>
        <v>6191</v>
      </c>
    </row>
    <row r="39" spans="1:11" s="6" customFormat="1" ht="18.75" customHeight="1" x14ac:dyDescent="0.15">
      <c r="A39" s="747"/>
      <c r="B39" s="512">
        <f>B38/B$36</f>
        <v>0.4115702479338843</v>
      </c>
      <c r="C39" s="512">
        <f t="shared" ref="C39:J45" si="19">C38/C$36</f>
        <v>0.41547049441786282</v>
      </c>
      <c r="D39" s="512">
        <f t="shared" si="19"/>
        <v>0.44874715261958997</v>
      </c>
      <c r="E39" s="512">
        <f t="shared" si="19"/>
        <v>0.48346055979643765</v>
      </c>
      <c r="F39" s="512">
        <f t="shared" si="19"/>
        <v>0.42146341463414633</v>
      </c>
      <c r="G39" s="512">
        <f t="shared" si="19"/>
        <v>0.33087557603686635</v>
      </c>
      <c r="H39" s="512">
        <f t="shared" si="19"/>
        <v>0.44737668865849828</v>
      </c>
      <c r="I39" s="512">
        <f t="shared" si="19"/>
        <v>0.41241830065359475</v>
      </c>
      <c r="J39" s="512">
        <f t="shared" si="19"/>
        <v>0.34384615384615386</v>
      </c>
      <c r="K39" s="512">
        <f>K38/K$36</f>
        <v>0.40588736641972073</v>
      </c>
    </row>
    <row r="40" spans="1:11" s="22" customFormat="1" ht="18.75" customHeight="1" x14ac:dyDescent="0.15">
      <c r="A40" s="529" t="s">
        <v>441</v>
      </c>
      <c r="B40" s="507">
        <f>SUM(B12,B14,B16,B18,B20)</f>
        <v>364</v>
      </c>
      <c r="C40" s="507">
        <f t="shared" ref="C40:J40" si="20">SUM(C12,C14,C16,C18,C20)</f>
        <v>447</v>
      </c>
      <c r="D40" s="507">
        <f t="shared" si="20"/>
        <v>413</v>
      </c>
      <c r="E40" s="507">
        <f t="shared" si="20"/>
        <v>358</v>
      </c>
      <c r="F40" s="507">
        <f t="shared" si="20"/>
        <v>291</v>
      </c>
      <c r="G40" s="507">
        <f t="shared" si="20"/>
        <v>1259</v>
      </c>
      <c r="H40" s="507">
        <f t="shared" si="20"/>
        <v>921</v>
      </c>
      <c r="I40" s="507">
        <f t="shared" si="20"/>
        <v>412</v>
      </c>
      <c r="J40" s="507">
        <f t="shared" si="20"/>
        <v>416</v>
      </c>
      <c r="K40" s="508">
        <f>SUM(B40:J40)</f>
        <v>4881</v>
      </c>
    </row>
    <row r="41" spans="1:11" s="22" customFormat="1" ht="18.75" customHeight="1" x14ac:dyDescent="0.15">
      <c r="A41" s="530" t="s">
        <v>442</v>
      </c>
      <c r="B41" s="512">
        <f>B40/B$36</f>
        <v>0.30082644628099175</v>
      </c>
      <c r="C41" s="512">
        <f t="shared" si="19"/>
        <v>0.35645933014354064</v>
      </c>
      <c r="D41" s="512">
        <f t="shared" si="19"/>
        <v>0.31359149582384205</v>
      </c>
      <c r="E41" s="512">
        <f t="shared" si="19"/>
        <v>0.30364715860899066</v>
      </c>
      <c r="F41" s="512">
        <f t="shared" si="19"/>
        <v>0.28390243902439022</v>
      </c>
      <c r="G41" s="512">
        <f t="shared" si="19"/>
        <v>0.38678955453149</v>
      </c>
      <c r="H41" s="512">
        <f t="shared" si="19"/>
        <v>0.28934967012252594</v>
      </c>
      <c r="I41" s="512">
        <f t="shared" si="19"/>
        <v>0.26928104575163397</v>
      </c>
      <c r="J41" s="512">
        <f t="shared" si="19"/>
        <v>0.32</v>
      </c>
      <c r="K41" s="512">
        <f>K40/K$36</f>
        <v>0.32000262243493083</v>
      </c>
    </row>
    <row r="42" spans="1:11" s="6" customFormat="1" ht="18.75" customHeight="1" x14ac:dyDescent="0.15">
      <c r="A42" s="529" t="s">
        <v>443</v>
      </c>
      <c r="B42" s="507">
        <f>SUM(B22,B24,B26,B28,B30)</f>
        <v>161</v>
      </c>
      <c r="C42" s="507">
        <f t="shared" ref="C42:J42" si="21">SUM(C22,C24,C26,C28,C30)</f>
        <v>125</v>
      </c>
      <c r="D42" s="507">
        <f t="shared" si="21"/>
        <v>154</v>
      </c>
      <c r="E42" s="507">
        <f t="shared" si="21"/>
        <v>119</v>
      </c>
      <c r="F42" s="507">
        <f t="shared" si="21"/>
        <v>141</v>
      </c>
      <c r="G42" s="507">
        <f t="shared" si="21"/>
        <v>466</v>
      </c>
      <c r="H42" s="507">
        <f t="shared" si="21"/>
        <v>364</v>
      </c>
      <c r="I42" s="507">
        <f t="shared" si="21"/>
        <v>191</v>
      </c>
      <c r="J42" s="507">
        <f t="shared" si="21"/>
        <v>191</v>
      </c>
      <c r="K42" s="508">
        <f>SUM(B42:J42)</f>
        <v>1912</v>
      </c>
    </row>
    <row r="43" spans="1:11" s="6" customFormat="1" ht="18.75" customHeight="1" x14ac:dyDescent="0.15">
      <c r="A43" s="531" t="s">
        <v>444</v>
      </c>
      <c r="B43" s="512">
        <f>B42/B$36</f>
        <v>0.13305785123966943</v>
      </c>
      <c r="C43" s="512">
        <f t="shared" si="19"/>
        <v>9.9681020733652315E-2</v>
      </c>
      <c r="D43" s="512">
        <f t="shared" si="19"/>
        <v>0.11693242217160213</v>
      </c>
      <c r="E43" s="512">
        <f t="shared" si="19"/>
        <v>0.10093299406276506</v>
      </c>
      <c r="F43" s="512">
        <f t="shared" si="19"/>
        <v>0.13756097560975611</v>
      </c>
      <c r="G43" s="512">
        <f t="shared" si="19"/>
        <v>0.14316436251920123</v>
      </c>
      <c r="H43" s="512">
        <f t="shared" si="19"/>
        <v>0.11435752434809927</v>
      </c>
      <c r="I43" s="512">
        <f t="shared" si="19"/>
        <v>0.12483660130718954</v>
      </c>
      <c r="J43" s="512">
        <f t="shared" si="19"/>
        <v>0.14692307692307693</v>
      </c>
      <c r="K43" s="512">
        <f>K42/K$36</f>
        <v>0.12535238969383072</v>
      </c>
    </row>
    <row r="44" spans="1:11" s="22" customFormat="1" ht="18.75" customHeight="1" x14ac:dyDescent="0.15">
      <c r="A44" s="746" t="s">
        <v>445</v>
      </c>
      <c r="B44" s="507">
        <f>SUM(B32,B34)</f>
        <v>187</v>
      </c>
      <c r="C44" s="507">
        <f t="shared" ref="C44:J44" si="22">SUM(C32,C34)</f>
        <v>161</v>
      </c>
      <c r="D44" s="507">
        <f t="shared" si="22"/>
        <v>159</v>
      </c>
      <c r="E44" s="507">
        <f t="shared" si="22"/>
        <v>132</v>
      </c>
      <c r="F44" s="507">
        <f t="shared" si="22"/>
        <v>161</v>
      </c>
      <c r="G44" s="507">
        <f t="shared" si="22"/>
        <v>453</v>
      </c>
      <c r="H44" s="507">
        <f t="shared" si="22"/>
        <v>474</v>
      </c>
      <c r="I44" s="507">
        <f t="shared" si="22"/>
        <v>296</v>
      </c>
      <c r="J44" s="507">
        <f t="shared" si="22"/>
        <v>246</v>
      </c>
      <c r="K44" s="508">
        <f>SUM(B44:J44)</f>
        <v>2269</v>
      </c>
    </row>
    <row r="45" spans="1:11" s="22" customFormat="1" ht="18.75" customHeight="1" x14ac:dyDescent="0.15">
      <c r="A45" s="747"/>
      <c r="B45" s="512">
        <f>B44/B$36</f>
        <v>0.15454545454545454</v>
      </c>
      <c r="C45" s="512">
        <f t="shared" si="19"/>
        <v>0.12838915470494419</v>
      </c>
      <c r="D45" s="512">
        <f t="shared" si="19"/>
        <v>0.12072892938496584</v>
      </c>
      <c r="E45" s="512">
        <f t="shared" si="19"/>
        <v>0.11195928753180662</v>
      </c>
      <c r="F45" s="512">
        <f t="shared" si="19"/>
        <v>0.15707317073170732</v>
      </c>
      <c r="G45" s="512">
        <f t="shared" si="19"/>
        <v>0.1391705069124424</v>
      </c>
      <c r="H45" s="512">
        <f t="shared" si="19"/>
        <v>0.14891611687087652</v>
      </c>
      <c r="I45" s="512">
        <f t="shared" si="19"/>
        <v>0.19346405228758171</v>
      </c>
      <c r="J45" s="512">
        <f t="shared" si="19"/>
        <v>0.18923076923076923</v>
      </c>
      <c r="K45" s="512">
        <f>K44/K$36</f>
        <v>0.14875762145151775</v>
      </c>
    </row>
    <row r="46" spans="1:11" hidden="1" x14ac:dyDescent="0.15">
      <c r="B46" s="40">
        <f>SUM(B38,B40,B42,B44)</f>
        <v>1210</v>
      </c>
      <c r="C46" s="40">
        <f t="shared" ref="C46:J46" si="23">SUM(C38,C40,C42,C44)</f>
        <v>1254</v>
      </c>
      <c r="D46" s="40">
        <f t="shared" si="23"/>
        <v>1317</v>
      </c>
      <c r="E46" s="40">
        <f t="shared" si="23"/>
        <v>1179</v>
      </c>
      <c r="F46" s="40">
        <f t="shared" si="23"/>
        <v>1025</v>
      </c>
      <c r="G46" s="40">
        <f t="shared" si="23"/>
        <v>3255</v>
      </c>
      <c r="H46" s="40">
        <f t="shared" si="23"/>
        <v>3183</v>
      </c>
      <c r="I46" s="40">
        <f t="shared" si="23"/>
        <v>1530</v>
      </c>
      <c r="J46" s="40">
        <f t="shared" si="23"/>
        <v>1300</v>
      </c>
    </row>
    <row r="47" spans="1:11" hidden="1" x14ac:dyDescent="0.15">
      <c r="B47" s="40"/>
      <c r="C47" s="40"/>
      <c r="D47" s="40"/>
      <c r="E47" s="40"/>
      <c r="F47" s="40"/>
      <c r="G47" s="40"/>
      <c r="H47" s="40"/>
      <c r="I47" s="40"/>
    </row>
    <row r="48" spans="1:11" hidden="1" x14ac:dyDescent="0.15"/>
    <row r="49" spans="1:21" hidden="1" x14ac:dyDescent="0.15">
      <c r="A49" s="377" t="s">
        <v>370</v>
      </c>
      <c r="B49" s="538" t="s">
        <v>384</v>
      </c>
      <c r="C49" s="538" t="s">
        <v>385</v>
      </c>
      <c r="D49" s="538" t="s">
        <v>386</v>
      </c>
      <c r="E49" s="538" t="s">
        <v>387</v>
      </c>
      <c r="F49" s="538" t="s">
        <v>388</v>
      </c>
      <c r="G49" s="538" t="s">
        <v>389</v>
      </c>
      <c r="H49" s="538" t="s">
        <v>390</v>
      </c>
      <c r="I49" s="538" t="s">
        <v>391</v>
      </c>
      <c r="J49" s="538" t="s">
        <v>392</v>
      </c>
      <c r="K49" s="538" t="s">
        <v>393</v>
      </c>
      <c r="L49" s="538" t="s">
        <v>394</v>
      </c>
      <c r="M49" s="538" t="s">
        <v>395</v>
      </c>
      <c r="N49" s="538" t="s">
        <v>396</v>
      </c>
      <c r="O49" s="538" t="s">
        <v>397</v>
      </c>
      <c r="P49" s="538" t="s">
        <v>398</v>
      </c>
      <c r="Q49" s="538" t="s">
        <v>399</v>
      </c>
      <c r="R49" s="538" t="s">
        <v>400</v>
      </c>
      <c r="S49" s="538" t="s">
        <v>401</v>
      </c>
      <c r="T49" s="538" t="s">
        <v>464</v>
      </c>
      <c r="U49" s="55" t="s">
        <v>591</v>
      </c>
    </row>
    <row r="50" spans="1:21" hidden="1" x14ac:dyDescent="0.15">
      <c r="A50" s="54" t="s">
        <v>182</v>
      </c>
      <c r="B50" s="23">
        <v>36</v>
      </c>
      <c r="C50" s="23">
        <v>56</v>
      </c>
      <c r="D50" s="23">
        <v>56</v>
      </c>
      <c r="E50" s="23">
        <v>64</v>
      </c>
      <c r="F50" s="23">
        <v>61</v>
      </c>
      <c r="G50" s="23">
        <v>58</v>
      </c>
      <c r="H50" s="23">
        <v>34</v>
      </c>
      <c r="I50" s="23">
        <v>43</v>
      </c>
      <c r="J50" s="23">
        <v>25</v>
      </c>
      <c r="K50" s="23">
        <v>117</v>
      </c>
      <c r="L50" s="23">
        <v>67</v>
      </c>
      <c r="M50" s="23">
        <v>50</v>
      </c>
      <c r="N50" s="23">
        <v>60</v>
      </c>
      <c r="O50" s="23">
        <v>76</v>
      </c>
      <c r="P50" s="23">
        <v>63</v>
      </c>
      <c r="Q50" s="23">
        <v>83</v>
      </c>
      <c r="R50" s="23">
        <v>445</v>
      </c>
      <c r="S50" s="23">
        <v>191</v>
      </c>
      <c r="T50" s="23">
        <v>115</v>
      </c>
      <c r="U50" s="23">
        <v>4</v>
      </c>
    </row>
    <row r="51" spans="1:21" hidden="1" x14ac:dyDescent="0.15">
      <c r="A51" s="54" t="s">
        <v>183</v>
      </c>
      <c r="B51" s="23">
        <v>31</v>
      </c>
      <c r="C51" s="23">
        <v>79</v>
      </c>
      <c r="D51" s="23">
        <v>42</v>
      </c>
      <c r="E51" s="23">
        <v>74</v>
      </c>
      <c r="F51" s="23">
        <v>66</v>
      </c>
      <c r="G51" s="23">
        <v>62</v>
      </c>
      <c r="H51" s="23">
        <v>43</v>
      </c>
      <c r="I51" s="23">
        <v>49</v>
      </c>
      <c r="J51" s="23">
        <v>44</v>
      </c>
      <c r="K51" s="23">
        <v>100</v>
      </c>
      <c r="L51" s="23">
        <v>81</v>
      </c>
      <c r="M51" s="23">
        <v>50</v>
      </c>
      <c r="N51" s="23">
        <v>58</v>
      </c>
      <c r="O51" s="23">
        <v>82</v>
      </c>
      <c r="P51" s="23">
        <v>100</v>
      </c>
      <c r="Q51" s="23">
        <v>69</v>
      </c>
      <c r="R51" s="23">
        <v>432</v>
      </c>
      <c r="S51" s="23">
        <v>205</v>
      </c>
      <c r="T51" s="23">
        <v>138</v>
      </c>
      <c r="U51" s="23">
        <v>8</v>
      </c>
    </row>
    <row r="52" spans="1:21" hidden="1" x14ac:dyDescent="0.15">
      <c r="A52" s="54" t="s">
        <v>184</v>
      </c>
      <c r="B52" s="23">
        <v>31</v>
      </c>
      <c r="C52" s="23">
        <v>30</v>
      </c>
      <c r="D52" s="23">
        <v>39</v>
      </c>
      <c r="E52" s="23">
        <v>62</v>
      </c>
      <c r="F52" s="23">
        <v>58</v>
      </c>
      <c r="G52" s="23">
        <v>39</v>
      </c>
      <c r="H52" s="23">
        <v>17</v>
      </c>
      <c r="I52" s="23">
        <v>25</v>
      </c>
      <c r="J52" s="23">
        <v>31</v>
      </c>
      <c r="K52" s="23">
        <v>57</v>
      </c>
      <c r="L52" s="23">
        <v>40</v>
      </c>
      <c r="M52" s="23">
        <v>46</v>
      </c>
      <c r="N52" s="23">
        <v>47</v>
      </c>
      <c r="O52" s="23">
        <v>70</v>
      </c>
      <c r="P52" s="23">
        <v>104</v>
      </c>
      <c r="Q52" s="23">
        <v>82</v>
      </c>
      <c r="R52" s="23">
        <v>268</v>
      </c>
      <c r="S52" s="23">
        <v>113</v>
      </c>
      <c r="T52" s="23">
        <v>75</v>
      </c>
      <c r="U52" s="23">
        <v>6</v>
      </c>
    </row>
    <row r="53" spans="1:21" hidden="1" x14ac:dyDescent="0.15">
      <c r="A53" s="54" t="s">
        <v>185</v>
      </c>
      <c r="B53" s="23">
        <v>23</v>
      </c>
      <c r="C53" s="23">
        <v>41</v>
      </c>
      <c r="D53" s="23">
        <v>34</v>
      </c>
      <c r="E53" s="23">
        <v>66</v>
      </c>
      <c r="F53" s="23">
        <v>70</v>
      </c>
      <c r="G53" s="23">
        <v>29</v>
      </c>
      <c r="H53" s="23">
        <v>33</v>
      </c>
      <c r="I53" s="23">
        <v>24</v>
      </c>
      <c r="J53" s="23">
        <v>35</v>
      </c>
      <c r="K53" s="23">
        <v>62</v>
      </c>
      <c r="L53" s="23">
        <v>46</v>
      </c>
      <c r="M53" s="23">
        <v>62</v>
      </c>
      <c r="N53" s="23">
        <v>59</v>
      </c>
      <c r="O53" s="23">
        <v>108</v>
      </c>
      <c r="P53" s="23">
        <v>128</v>
      </c>
      <c r="Q53" s="23">
        <v>112</v>
      </c>
      <c r="R53" s="23">
        <v>279</v>
      </c>
      <c r="S53" s="23">
        <v>122</v>
      </c>
      <c r="T53" s="23">
        <v>93</v>
      </c>
      <c r="U53" s="23">
        <v>8</v>
      </c>
    </row>
    <row r="54" spans="1:21" hidden="1" x14ac:dyDescent="0.15">
      <c r="A54" s="54" t="s">
        <v>186</v>
      </c>
      <c r="B54" s="23">
        <v>13</v>
      </c>
      <c r="C54" s="23">
        <v>20</v>
      </c>
      <c r="D54" s="23">
        <v>25</v>
      </c>
      <c r="E54" s="23">
        <v>47</v>
      </c>
      <c r="F54" s="23">
        <v>42</v>
      </c>
      <c r="G54" s="23">
        <v>27</v>
      </c>
      <c r="H54" s="23">
        <v>18</v>
      </c>
      <c r="I54" s="23">
        <v>23</v>
      </c>
      <c r="J54" s="23">
        <v>20</v>
      </c>
      <c r="K54" s="23">
        <v>43</v>
      </c>
      <c r="L54" s="23">
        <v>24</v>
      </c>
      <c r="M54" s="23">
        <v>19</v>
      </c>
      <c r="N54" s="23">
        <v>49</v>
      </c>
      <c r="O54" s="23">
        <v>68</v>
      </c>
      <c r="P54" s="23">
        <v>87</v>
      </c>
      <c r="Q54" s="23">
        <v>107</v>
      </c>
      <c r="R54" s="23">
        <v>213</v>
      </c>
      <c r="S54" s="23">
        <v>85</v>
      </c>
      <c r="T54" s="23">
        <v>69</v>
      </c>
      <c r="U54" s="23">
        <v>9</v>
      </c>
    </row>
    <row r="55" spans="1:21" hidden="1" x14ac:dyDescent="0.15">
      <c r="A55" s="54" t="s">
        <v>187</v>
      </c>
      <c r="B55" s="23">
        <v>16</v>
      </c>
      <c r="C55" s="23">
        <v>18</v>
      </c>
      <c r="D55" s="23">
        <v>26</v>
      </c>
      <c r="E55" s="23">
        <v>47</v>
      </c>
      <c r="F55" s="23">
        <v>33</v>
      </c>
      <c r="G55" s="23">
        <v>28</v>
      </c>
      <c r="H55" s="23">
        <v>21</v>
      </c>
      <c r="I55" s="23">
        <v>17</v>
      </c>
      <c r="J55" s="23">
        <v>15</v>
      </c>
      <c r="K55" s="23">
        <v>42</v>
      </c>
      <c r="L55" s="23">
        <v>21</v>
      </c>
      <c r="M55" s="23">
        <v>23</v>
      </c>
      <c r="N55" s="23">
        <v>33</v>
      </c>
      <c r="O55" s="23">
        <v>56</v>
      </c>
      <c r="P55" s="23">
        <v>101</v>
      </c>
      <c r="Q55" s="23">
        <v>71</v>
      </c>
      <c r="R55" s="23">
        <v>152</v>
      </c>
      <c r="S55" s="23">
        <v>80</v>
      </c>
      <c r="T55" s="23">
        <v>59</v>
      </c>
      <c r="U55" s="23">
        <v>4</v>
      </c>
    </row>
    <row r="56" spans="1:21" hidden="1" x14ac:dyDescent="0.15">
      <c r="A56" s="54" t="s">
        <v>188</v>
      </c>
      <c r="B56" s="23">
        <v>23</v>
      </c>
      <c r="C56" s="23">
        <v>28</v>
      </c>
      <c r="D56" s="23">
        <v>44</v>
      </c>
      <c r="E56" s="23">
        <v>68</v>
      </c>
      <c r="F56" s="23">
        <v>51</v>
      </c>
      <c r="G56" s="23">
        <v>29</v>
      </c>
      <c r="H56" s="23">
        <v>22</v>
      </c>
      <c r="I56" s="23">
        <v>29</v>
      </c>
      <c r="J56" s="23">
        <v>19</v>
      </c>
      <c r="K56" s="23">
        <v>75</v>
      </c>
      <c r="L56" s="23">
        <v>40</v>
      </c>
      <c r="M56" s="23">
        <v>32</v>
      </c>
      <c r="N56" s="23">
        <v>36</v>
      </c>
      <c r="O56" s="23">
        <v>81</v>
      </c>
      <c r="P56" s="23">
        <v>134</v>
      </c>
      <c r="Q56" s="23">
        <v>104</v>
      </c>
      <c r="R56" s="23">
        <v>261</v>
      </c>
      <c r="S56" s="23">
        <v>100</v>
      </c>
      <c r="T56" s="23">
        <v>82</v>
      </c>
      <c r="U56" s="23">
        <v>13</v>
      </c>
    </row>
    <row r="57" spans="1:21" hidden="1" x14ac:dyDescent="0.15">
      <c r="A57" s="54" t="s">
        <v>189</v>
      </c>
      <c r="B57" s="23">
        <v>23</v>
      </c>
      <c r="C57" s="23">
        <v>32</v>
      </c>
      <c r="D57" s="23">
        <v>31</v>
      </c>
      <c r="E57" s="23">
        <v>68</v>
      </c>
      <c r="F57" s="23">
        <v>36</v>
      </c>
      <c r="G57" s="23">
        <v>36</v>
      </c>
      <c r="H57" s="23">
        <v>15</v>
      </c>
      <c r="I57" s="23">
        <v>19</v>
      </c>
      <c r="J57" s="23">
        <v>14</v>
      </c>
      <c r="K57" s="23">
        <v>45</v>
      </c>
      <c r="L57" s="23">
        <v>20</v>
      </c>
      <c r="M57" s="23">
        <v>26</v>
      </c>
      <c r="N57" s="23">
        <v>28</v>
      </c>
      <c r="O57" s="23">
        <v>64</v>
      </c>
      <c r="P57" s="23">
        <v>110</v>
      </c>
      <c r="Q57" s="23">
        <v>71</v>
      </c>
      <c r="R57" s="23">
        <v>166</v>
      </c>
      <c r="S57" s="23">
        <v>88</v>
      </c>
      <c r="T57" s="23">
        <v>113</v>
      </c>
      <c r="U57" s="23">
        <v>3</v>
      </c>
    </row>
    <row r="58" spans="1:21" hidden="1" x14ac:dyDescent="0.15">
      <c r="A58" s="54" t="s">
        <v>190</v>
      </c>
      <c r="B58" s="23">
        <v>24</v>
      </c>
      <c r="C58" s="23">
        <v>22</v>
      </c>
      <c r="D58" s="23">
        <v>19</v>
      </c>
      <c r="E58" s="23">
        <v>32</v>
      </c>
      <c r="F58" s="23">
        <v>23</v>
      </c>
      <c r="G58" s="23">
        <v>18</v>
      </c>
      <c r="H58" s="23">
        <v>8</v>
      </c>
      <c r="I58" s="23">
        <v>23</v>
      </c>
      <c r="J58" s="23">
        <v>12</v>
      </c>
      <c r="K58" s="23">
        <v>33</v>
      </c>
      <c r="L58" s="23">
        <v>15</v>
      </c>
      <c r="M58" s="23">
        <v>24</v>
      </c>
      <c r="N58" s="23">
        <v>21</v>
      </c>
      <c r="O58" s="23">
        <v>57</v>
      </c>
      <c r="P58" s="23">
        <v>82</v>
      </c>
      <c r="Q58" s="23">
        <v>66</v>
      </c>
      <c r="R58" s="23">
        <v>129</v>
      </c>
      <c r="S58" s="23">
        <v>59</v>
      </c>
      <c r="T58" s="23">
        <v>56</v>
      </c>
      <c r="U58" s="23">
        <v>8</v>
      </c>
    </row>
    <row r="59" spans="1:21" hidden="1" x14ac:dyDescent="0.15">
      <c r="A59" s="54" t="s">
        <v>191</v>
      </c>
      <c r="B59" s="23">
        <v>13</v>
      </c>
      <c r="C59" s="23">
        <v>18</v>
      </c>
      <c r="D59" s="23">
        <v>16</v>
      </c>
      <c r="E59" s="23">
        <v>29</v>
      </c>
      <c r="F59" s="23">
        <v>13</v>
      </c>
      <c r="G59" s="23">
        <v>12</v>
      </c>
      <c r="H59" s="23">
        <v>12</v>
      </c>
      <c r="I59" s="23">
        <v>11</v>
      </c>
      <c r="J59" s="23">
        <v>4</v>
      </c>
      <c r="K59" s="23">
        <v>15</v>
      </c>
      <c r="L59" s="23">
        <v>11</v>
      </c>
      <c r="M59" s="23">
        <v>18</v>
      </c>
      <c r="N59" s="23">
        <v>19</v>
      </c>
      <c r="O59" s="23">
        <v>27</v>
      </c>
      <c r="P59" s="23">
        <v>58</v>
      </c>
      <c r="Q59" s="23">
        <v>43</v>
      </c>
      <c r="R59" s="23">
        <v>90</v>
      </c>
      <c r="S59" s="23">
        <v>42</v>
      </c>
      <c r="T59" s="23">
        <v>44</v>
      </c>
      <c r="U59" s="23">
        <v>3</v>
      </c>
    </row>
    <row r="60" spans="1:21" hidden="1" x14ac:dyDescent="0.15">
      <c r="A60" s="54" t="s">
        <v>192</v>
      </c>
      <c r="B60" s="23">
        <v>13</v>
      </c>
      <c r="C60" s="23">
        <v>13</v>
      </c>
      <c r="D60" s="23">
        <v>15</v>
      </c>
      <c r="E60" s="23">
        <v>16</v>
      </c>
      <c r="F60" s="23">
        <v>6</v>
      </c>
      <c r="G60" s="23">
        <v>10</v>
      </c>
      <c r="H60" s="23">
        <v>10</v>
      </c>
      <c r="I60" s="23">
        <v>15</v>
      </c>
      <c r="J60" s="23">
        <v>6</v>
      </c>
      <c r="K60" s="23">
        <v>21</v>
      </c>
      <c r="L60" s="23">
        <v>11</v>
      </c>
      <c r="M60" s="23">
        <v>18</v>
      </c>
      <c r="N60" s="23">
        <v>16</v>
      </c>
      <c r="O60" s="23">
        <v>29</v>
      </c>
      <c r="P60" s="23">
        <v>44</v>
      </c>
      <c r="Q60" s="23">
        <v>36</v>
      </c>
      <c r="R60" s="23">
        <v>80</v>
      </c>
      <c r="S60" s="23">
        <v>41</v>
      </c>
      <c r="T60" s="23">
        <v>34</v>
      </c>
      <c r="U60" s="23">
        <v>3</v>
      </c>
    </row>
    <row r="61" spans="1:21" hidden="1" x14ac:dyDescent="0.15">
      <c r="A61" s="54" t="s">
        <v>193</v>
      </c>
      <c r="B61" s="23">
        <v>11</v>
      </c>
      <c r="C61" s="23">
        <v>7</v>
      </c>
      <c r="D61" s="23">
        <v>16</v>
      </c>
      <c r="E61" s="23">
        <v>16</v>
      </c>
      <c r="F61" s="23">
        <v>13</v>
      </c>
      <c r="G61" s="23">
        <v>10</v>
      </c>
      <c r="H61" s="23">
        <v>3</v>
      </c>
      <c r="I61" s="23">
        <v>8</v>
      </c>
      <c r="J61" s="23">
        <v>9</v>
      </c>
      <c r="K61" s="23">
        <v>10</v>
      </c>
      <c r="L61" s="23">
        <v>7</v>
      </c>
      <c r="M61" s="23">
        <v>19</v>
      </c>
      <c r="N61" s="23">
        <v>11</v>
      </c>
      <c r="O61" s="23">
        <v>30</v>
      </c>
      <c r="P61" s="23">
        <v>40</v>
      </c>
      <c r="Q61" s="23">
        <v>20</v>
      </c>
      <c r="R61" s="23">
        <v>73</v>
      </c>
      <c r="S61" s="23">
        <v>35</v>
      </c>
      <c r="T61" s="23">
        <v>42</v>
      </c>
      <c r="U61" s="23">
        <v>5</v>
      </c>
    </row>
    <row r="62" spans="1:21" hidden="1" x14ac:dyDescent="0.15">
      <c r="A62" s="54" t="s">
        <v>194</v>
      </c>
      <c r="B62" s="23">
        <v>5</v>
      </c>
      <c r="C62" s="23">
        <v>8</v>
      </c>
      <c r="D62" s="23">
        <v>7</v>
      </c>
      <c r="E62" s="23">
        <v>9</v>
      </c>
      <c r="F62" s="23">
        <v>8</v>
      </c>
      <c r="G62" s="23">
        <v>7</v>
      </c>
      <c r="H62" s="23">
        <v>8</v>
      </c>
      <c r="I62" s="23">
        <v>7</v>
      </c>
      <c r="J62" s="23">
        <v>7</v>
      </c>
      <c r="K62" s="23">
        <v>12</v>
      </c>
      <c r="L62" s="23">
        <v>8</v>
      </c>
      <c r="M62" s="23">
        <v>12</v>
      </c>
      <c r="N62" s="23">
        <v>8</v>
      </c>
      <c r="O62" s="23">
        <v>23</v>
      </c>
      <c r="P62" s="23">
        <v>31</v>
      </c>
      <c r="Q62" s="23">
        <v>18</v>
      </c>
      <c r="R62" s="23">
        <v>68</v>
      </c>
      <c r="S62" s="23">
        <v>33</v>
      </c>
      <c r="T62" s="23">
        <v>22</v>
      </c>
      <c r="U62" s="23">
        <v>5</v>
      </c>
    </row>
    <row r="63" spans="1:21" hidden="1" x14ac:dyDescent="0.15">
      <c r="A63" s="54" t="s">
        <v>195</v>
      </c>
      <c r="B63" s="23">
        <v>3</v>
      </c>
      <c r="C63" s="23">
        <v>9</v>
      </c>
      <c r="D63" s="23">
        <v>7</v>
      </c>
      <c r="E63" s="23">
        <v>5</v>
      </c>
      <c r="F63" s="23">
        <v>10</v>
      </c>
      <c r="G63" s="23">
        <v>4</v>
      </c>
      <c r="H63" s="23">
        <v>1</v>
      </c>
      <c r="I63" s="23">
        <v>6</v>
      </c>
      <c r="J63" s="23">
        <v>4</v>
      </c>
      <c r="K63" s="23">
        <v>17</v>
      </c>
      <c r="L63" s="23">
        <v>7</v>
      </c>
      <c r="M63" s="23">
        <v>12</v>
      </c>
      <c r="N63" s="23">
        <v>8</v>
      </c>
      <c r="O63" s="23">
        <v>20</v>
      </c>
      <c r="P63" s="23">
        <v>35</v>
      </c>
      <c r="Q63" s="23">
        <v>12</v>
      </c>
      <c r="R63" s="23">
        <v>53</v>
      </c>
      <c r="S63" s="23">
        <v>40</v>
      </c>
      <c r="T63" s="23">
        <v>28</v>
      </c>
      <c r="U63" s="23">
        <v>5</v>
      </c>
    </row>
    <row r="64" spans="1:21" hidden="1" x14ac:dyDescent="0.15">
      <c r="A64" s="54" t="s">
        <v>196</v>
      </c>
      <c r="B64" s="23">
        <v>40</v>
      </c>
      <c r="C64" s="23">
        <v>38</v>
      </c>
      <c r="D64" s="23">
        <v>30</v>
      </c>
      <c r="E64" s="23">
        <v>68</v>
      </c>
      <c r="F64" s="23">
        <v>50</v>
      </c>
      <c r="G64" s="23">
        <v>43</v>
      </c>
      <c r="H64" s="23">
        <v>21</v>
      </c>
      <c r="I64" s="23">
        <v>30</v>
      </c>
      <c r="J64" s="23">
        <v>20</v>
      </c>
      <c r="K64" s="23">
        <v>41</v>
      </c>
      <c r="L64" s="23">
        <v>42</v>
      </c>
      <c r="M64" s="23">
        <v>49</v>
      </c>
      <c r="N64" s="23">
        <v>66</v>
      </c>
      <c r="O64" s="23">
        <v>75</v>
      </c>
      <c r="P64" s="23">
        <v>136</v>
      </c>
      <c r="Q64" s="23">
        <v>74</v>
      </c>
      <c r="R64" s="23">
        <v>287</v>
      </c>
      <c r="S64" s="23">
        <v>160</v>
      </c>
      <c r="T64" s="23">
        <v>123</v>
      </c>
      <c r="U64" s="23">
        <v>20</v>
      </c>
    </row>
    <row r="65" spans="1:21" hidden="1" x14ac:dyDescent="0.15">
      <c r="A65" s="54" t="s">
        <v>197</v>
      </c>
      <c r="B65" s="23">
        <v>30</v>
      </c>
      <c r="C65" s="23">
        <v>26</v>
      </c>
      <c r="D65" s="23">
        <v>23</v>
      </c>
      <c r="E65" s="23">
        <v>24</v>
      </c>
      <c r="F65" s="23">
        <v>19</v>
      </c>
      <c r="G65" s="23">
        <v>14</v>
      </c>
      <c r="H65" s="23">
        <v>6</v>
      </c>
      <c r="I65" s="23">
        <v>15</v>
      </c>
      <c r="J65" s="23">
        <v>10</v>
      </c>
      <c r="K65" s="23">
        <v>28</v>
      </c>
      <c r="L65" s="23">
        <v>21</v>
      </c>
      <c r="M65" s="23">
        <v>25</v>
      </c>
      <c r="N65" s="23">
        <v>21</v>
      </c>
      <c r="O65" s="23">
        <v>55</v>
      </c>
      <c r="P65" s="23">
        <v>72</v>
      </c>
      <c r="Q65" s="23">
        <v>41</v>
      </c>
      <c r="R65" s="23">
        <v>187</v>
      </c>
      <c r="S65" s="23">
        <v>136</v>
      </c>
      <c r="T65" s="23">
        <v>99</v>
      </c>
      <c r="U65" s="23">
        <v>4</v>
      </c>
    </row>
    <row r="66" spans="1:21" hidden="1" x14ac:dyDescent="0.15"/>
    <row r="67" spans="1:21" hidden="1" x14ac:dyDescent="0.15"/>
  </sheetData>
  <mergeCells count="5">
    <mergeCell ref="A4:A5"/>
    <mergeCell ref="A34:A35"/>
    <mergeCell ref="A36:A37"/>
    <mergeCell ref="A38:A39"/>
    <mergeCell ref="A44:A45"/>
  </mergeCells>
  <phoneticPr fontId="2"/>
  <printOptions horizontalCentered="1"/>
  <pageMargins left="0.70866141732283472" right="0.70866141732283472" top="0.74803149606299213" bottom="0.74803149606299213" header="0.31496062992125984" footer="0.31496062992125984"/>
  <pageSetup paperSize="9" scale="86" orientation="portrait" r:id="rId1"/>
  <ignoredErrors>
    <ignoredError sqref="B39:K44 B27:K27 K4:K26 B35:K37 K28:K34" formula="1"/>
    <ignoredError sqref="B4:J26 B28:J34" formula="1"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Button 1">
              <controlPr defaultSize="0" print="0" autoFill="0" autoPict="0" macro="[0]!データ削除34">
                <anchor moveWithCells="1" sizeWithCells="1">
                  <from>
                    <xdr:col>11</xdr:col>
                    <xdr:colOff>533400</xdr:colOff>
                    <xdr:row>43</xdr:row>
                    <xdr:rowOff>228600</xdr:rowOff>
                  </from>
                  <to>
                    <xdr:col>14</xdr:col>
                    <xdr:colOff>514350</xdr:colOff>
                    <xdr:row>46</xdr:row>
                    <xdr:rowOff>114300</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tabColor theme="5" tint="0.39997558519241921"/>
    <pageSetUpPr fitToPage="1"/>
  </sheetPr>
  <dimension ref="A1:U28"/>
  <sheetViews>
    <sheetView showGridLines="0" zoomScale="80" zoomScaleNormal="80" zoomScaleSheetLayoutView="100" workbookViewId="0">
      <selection activeCell="L36" sqref="L36"/>
    </sheetView>
  </sheetViews>
  <sheetFormatPr defaultColWidth="13.75" defaultRowHeight="18.75" x14ac:dyDescent="0.15"/>
  <cols>
    <col min="1" max="1" width="10" style="1" customWidth="1"/>
    <col min="2" max="11" width="8.75" style="1" customWidth="1"/>
    <col min="12" max="12" width="7.5" style="1" customWidth="1"/>
    <col min="13" max="16" width="7.5" style="1" hidden="1" customWidth="1"/>
    <col min="17" max="21" width="7.5" style="1" customWidth="1"/>
    <col min="22" max="16384" width="13.75" style="1"/>
  </cols>
  <sheetData>
    <row r="1" spans="1:11" s="3" customFormat="1" ht="19.5" x14ac:dyDescent="0.15">
      <c r="A1" s="2" t="s">
        <v>470</v>
      </c>
    </row>
    <row r="2" spans="1:11" x14ac:dyDescent="0.15">
      <c r="A2" s="4"/>
    </row>
    <row r="3" spans="1:11" ht="37.5" x14ac:dyDescent="0.15">
      <c r="A3" s="506"/>
      <c r="B3" s="506" t="s">
        <v>376</v>
      </c>
      <c r="C3" s="506" t="s">
        <v>377</v>
      </c>
      <c r="D3" s="506" t="s">
        <v>378</v>
      </c>
      <c r="E3" s="506" t="s">
        <v>379</v>
      </c>
      <c r="F3" s="506" t="s">
        <v>380</v>
      </c>
      <c r="G3" s="506" t="s">
        <v>381</v>
      </c>
      <c r="H3" s="506" t="s">
        <v>382</v>
      </c>
      <c r="I3" s="506" t="s">
        <v>383</v>
      </c>
      <c r="J3" s="535" t="s">
        <v>463</v>
      </c>
      <c r="K3" s="506" t="s">
        <v>62</v>
      </c>
    </row>
    <row r="4" spans="1:11" s="22" customFormat="1" ht="18.75" customHeight="1" x14ac:dyDescent="0.15">
      <c r="A4" s="721" t="s">
        <v>28</v>
      </c>
      <c r="B4" s="507">
        <f>SUM(B22:D22)</f>
        <v>37</v>
      </c>
      <c r="C4" s="507">
        <f>SUM(E22:F22)</f>
        <v>19</v>
      </c>
      <c r="D4" s="507">
        <f>SUM(G22:J22)</f>
        <v>34</v>
      </c>
      <c r="E4" s="507">
        <f>SUM(K22:L22)</f>
        <v>44</v>
      </c>
      <c r="F4" s="507">
        <f>SUM(M22:N22)</f>
        <v>29</v>
      </c>
      <c r="G4" s="507">
        <f>SUM(O22:Q22)</f>
        <v>28</v>
      </c>
      <c r="H4" s="507">
        <f>R22</f>
        <v>96</v>
      </c>
      <c r="I4" s="507">
        <f>S22</f>
        <v>27</v>
      </c>
      <c r="J4" s="507">
        <f>SUM(T22:U22)</f>
        <v>25</v>
      </c>
      <c r="K4" s="508">
        <f>SUM(B4:J4)</f>
        <v>339</v>
      </c>
    </row>
    <row r="5" spans="1:11" s="22" customFormat="1" ht="18.75" customHeight="1" x14ac:dyDescent="0.15">
      <c r="A5" s="723"/>
      <c r="B5" s="512">
        <f>B4/B$16</f>
        <v>3.0578512396694214E-2</v>
      </c>
      <c r="C5" s="512">
        <f t="shared" ref="C5:J5" si="0">C4/C$16</f>
        <v>1.5151515151515152E-2</v>
      </c>
      <c r="D5" s="512">
        <f t="shared" si="0"/>
        <v>2.5816249050873197E-2</v>
      </c>
      <c r="E5" s="512">
        <f t="shared" si="0"/>
        <v>3.7319762510602206E-2</v>
      </c>
      <c r="F5" s="512">
        <f t="shared" si="0"/>
        <v>2.8292682926829269E-2</v>
      </c>
      <c r="G5" s="512">
        <f t="shared" si="0"/>
        <v>8.6021505376344086E-3</v>
      </c>
      <c r="H5" s="512">
        <f t="shared" si="0"/>
        <v>3.0160226201696512E-2</v>
      </c>
      <c r="I5" s="512">
        <f t="shared" si="0"/>
        <v>1.7647058823529412E-2</v>
      </c>
      <c r="J5" s="512">
        <f t="shared" si="0"/>
        <v>1.9230769230769232E-2</v>
      </c>
      <c r="K5" s="512">
        <f>K4/K$16</f>
        <v>2.2225136038812036E-2</v>
      </c>
    </row>
    <row r="6" spans="1:11" s="22" customFormat="1" ht="18.75" customHeight="1" x14ac:dyDescent="0.15">
      <c r="A6" s="721" t="s">
        <v>29</v>
      </c>
      <c r="B6" s="507">
        <f>SUM(B23:D23)</f>
        <v>100</v>
      </c>
      <c r="C6" s="507">
        <f>SUM(E23:F23)</f>
        <v>89</v>
      </c>
      <c r="D6" s="507">
        <f>SUM(G23:J23)</f>
        <v>116</v>
      </c>
      <c r="E6" s="507">
        <f>SUM(K23:L23)</f>
        <v>182</v>
      </c>
      <c r="F6" s="507">
        <f>SUM(M23:N23)</f>
        <v>106</v>
      </c>
      <c r="G6" s="507">
        <f>SUM(O23:Q23)</f>
        <v>194</v>
      </c>
      <c r="H6" s="507">
        <f>R23</f>
        <v>331</v>
      </c>
      <c r="I6" s="507">
        <f>S23</f>
        <v>181</v>
      </c>
      <c r="J6" s="507">
        <f>SUM(T23:U23)</f>
        <v>128</v>
      </c>
      <c r="K6" s="508">
        <f>SUM(B6:J6)</f>
        <v>1427</v>
      </c>
    </row>
    <row r="7" spans="1:11" s="22" customFormat="1" ht="18.75" customHeight="1" x14ac:dyDescent="0.15">
      <c r="A7" s="723"/>
      <c r="B7" s="512">
        <f>B6/B$16</f>
        <v>8.2644628099173556E-2</v>
      </c>
      <c r="C7" s="512">
        <f t="shared" ref="C7:J7" si="1">C6/C$16</f>
        <v>7.0972886762360451E-2</v>
      </c>
      <c r="D7" s="512">
        <f t="shared" si="1"/>
        <v>8.8078967350037965E-2</v>
      </c>
      <c r="E7" s="512">
        <f t="shared" si="1"/>
        <v>0.15436810856658184</v>
      </c>
      <c r="F7" s="512">
        <f t="shared" si="1"/>
        <v>0.10341463414634146</v>
      </c>
      <c r="G7" s="512">
        <f t="shared" si="1"/>
        <v>5.9600614439324115E-2</v>
      </c>
      <c r="H7" s="512">
        <f t="shared" si="1"/>
        <v>0.10398994659126611</v>
      </c>
      <c r="I7" s="512">
        <f t="shared" si="1"/>
        <v>0.11830065359477124</v>
      </c>
      <c r="J7" s="512">
        <f t="shared" si="1"/>
        <v>9.8461538461538461E-2</v>
      </c>
      <c r="K7" s="512">
        <f>K6/K$16</f>
        <v>9.3555366157477213E-2</v>
      </c>
    </row>
    <row r="8" spans="1:11" s="22" customFormat="1" ht="18.75" customHeight="1" x14ac:dyDescent="0.15">
      <c r="A8" s="721" t="s">
        <v>30</v>
      </c>
      <c r="B8" s="507">
        <f>SUM(B24:D24)</f>
        <v>211</v>
      </c>
      <c r="C8" s="507">
        <f>SUM(E24:F24)</f>
        <v>212</v>
      </c>
      <c r="D8" s="507">
        <f>SUM(G24:J24)</f>
        <v>219</v>
      </c>
      <c r="E8" s="507">
        <f>SUM(K24:L24)</f>
        <v>296</v>
      </c>
      <c r="F8" s="507">
        <f>SUM(M24:N24)</f>
        <v>191</v>
      </c>
      <c r="G8" s="507">
        <f>SUM(O24:Q24)</f>
        <v>524</v>
      </c>
      <c r="H8" s="507">
        <f>R24</f>
        <v>680</v>
      </c>
      <c r="I8" s="507">
        <f>S24</f>
        <v>311</v>
      </c>
      <c r="J8" s="507">
        <f>SUM(T24:U24)</f>
        <v>225</v>
      </c>
      <c r="K8" s="508">
        <f>SUM(B8:J8)</f>
        <v>2869</v>
      </c>
    </row>
    <row r="9" spans="1:11" s="22" customFormat="1" ht="18.75" customHeight="1" x14ac:dyDescent="0.15">
      <c r="A9" s="723"/>
      <c r="B9" s="512">
        <f>B8/B$16</f>
        <v>0.17438016528925621</v>
      </c>
      <c r="C9" s="512">
        <f t="shared" ref="C9:J9" si="2">C8/C$16</f>
        <v>0.16905901116427433</v>
      </c>
      <c r="D9" s="512">
        <f t="shared" si="2"/>
        <v>0.1662870159453303</v>
      </c>
      <c r="E9" s="512">
        <f t="shared" si="2"/>
        <v>0.2510602205258694</v>
      </c>
      <c r="F9" s="512">
        <f t="shared" si="2"/>
        <v>0.18634146341463415</v>
      </c>
      <c r="G9" s="512">
        <f t="shared" si="2"/>
        <v>0.16098310291858678</v>
      </c>
      <c r="H9" s="512">
        <f t="shared" si="2"/>
        <v>0.21363493559535029</v>
      </c>
      <c r="I9" s="512">
        <f t="shared" si="2"/>
        <v>0.20326797385620915</v>
      </c>
      <c r="J9" s="512">
        <f t="shared" si="2"/>
        <v>0.17307692307692307</v>
      </c>
      <c r="K9" s="512">
        <f>K8/K$16</f>
        <v>0.18809414541401692</v>
      </c>
    </row>
    <row r="10" spans="1:11" s="22" customFormat="1" ht="18.75" customHeight="1" x14ac:dyDescent="0.15">
      <c r="A10" s="721" t="s">
        <v>31</v>
      </c>
      <c r="B10" s="507">
        <f>SUM(B25:D25)</f>
        <v>466</v>
      </c>
      <c r="C10" s="507">
        <f>SUM(E25:F25)</f>
        <v>490</v>
      </c>
      <c r="D10" s="507">
        <f>SUM(G25:J25)</f>
        <v>519</v>
      </c>
      <c r="E10" s="507">
        <f>SUM(K25:L25)</f>
        <v>444</v>
      </c>
      <c r="F10" s="507">
        <f>SUM(M25:N25)</f>
        <v>449</v>
      </c>
      <c r="G10" s="507">
        <f>SUM(O25:Q25)</f>
        <v>1298</v>
      </c>
      <c r="H10" s="507">
        <f>R25</f>
        <v>1238</v>
      </c>
      <c r="I10" s="507">
        <f>S25</f>
        <v>615</v>
      </c>
      <c r="J10" s="507">
        <f>SUM(T25:U25)</f>
        <v>501</v>
      </c>
      <c r="K10" s="508">
        <f>SUM(B10:J10)</f>
        <v>6020</v>
      </c>
    </row>
    <row r="11" spans="1:11" s="22" customFormat="1" ht="18.75" customHeight="1" x14ac:dyDescent="0.15">
      <c r="A11" s="723"/>
      <c r="B11" s="512">
        <f>B10/B$16</f>
        <v>0.38512396694214879</v>
      </c>
      <c r="C11" s="512">
        <f t="shared" ref="C11:J11" si="3">C10/C$16</f>
        <v>0.39074960127591707</v>
      </c>
      <c r="D11" s="512">
        <f t="shared" si="3"/>
        <v>0.39407744874715261</v>
      </c>
      <c r="E11" s="512">
        <f t="shared" si="3"/>
        <v>0.37659033078880405</v>
      </c>
      <c r="F11" s="512">
        <f t="shared" si="3"/>
        <v>0.43804878048780488</v>
      </c>
      <c r="G11" s="512">
        <f t="shared" si="3"/>
        <v>0.39877112135176651</v>
      </c>
      <c r="H11" s="512">
        <f t="shared" si="3"/>
        <v>0.38894125039271127</v>
      </c>
      <c r="I11" s="512">
        <f t="shared" si="3"/>
        <v>0.40196078431372551</v>
      </c>
      <c r="J11" s="512">
        <f t="shared" si="3"/>
        <v>0.38538461538461538</v>
      </c>
      <c r="K11" s="512">
        <f>K10/K$16</f>
        <v>0.39467645709040844</v>
      </c>
    </row>
    <row r="12" spans="1:11" s="22" customFormat="1" ht="18.75" customHeight="1" x14ac:dyDescent="0.15">
      <c r="A12" s="721" t="s">
        <v>32</v>
      </c>
      <c r="B12" s="507">
        <f>SUM(B26:D26)</f>
        <v>342</v>
      </c>
      <c r="C12" s="507">
        <f>SUM(E26:F26)</f>
        <v>364</v>
      </c>
      <c r="D12" s="507">
        <f>SUM(G26:J26)</f>
        <v>353</v>
      </c>
      <c r="E12" s="507">
        <f>SUM(K26:L26)</f>
        <v>185</v>
      </c>
      <c r="F12" s="507">
        <f>SUM(M26:N26)</f>
        <v>212</v>
      </c>
      <c r="G12" s="507">
        <f>SUM(O26:Q26)</f>
        <v>1051</v>
      </c>
      <c r="H12" s="507">
        <f>R26</f>
        <v>728</v>
      </c>
      <c r="I12" s="507">
        <f>S26</f>
        <v>342</v>
      </c>
      <c r="J12" s="507">
        <f>SUM(T26:U26)</f>
        <v>356</v>
      </c>
      <c r="K12" s="508">
        <f>SUM(B12:J12)</f>
        <v>3933</v>
      </c>
    </row>
    <row r="13" spans="1:11" s="22" customFormat="1" ht="18.75" customHeight="1" x14ac:dyDescent="0.15">
      <c r="A13" s="723"/>
      <c r="B13" s="512">
        <f>B12/B$16</f>
        <v>0.28264462809917357</v>
      </c>
      <c r="C13" s="512">
        <f t="shared" ref="C13:J13" si="4">C12/C$16</f>
        <v>0.29027113237639551</v>
      </c>
      <c r="D13" s="512">
        <f t="shared" si="4"/>
        <v>0.26803340926347757</v>
      </c>
      <c r="E13" s="512">
        <f t="shared" si="4"/>
        <v>0.15691263782866835</v>
      </c>
      <c r="F13" s="512">
        <f t="shared" si="4"/>
        <v>0.20682926829268292</v>
      </c>
      <c r="G13" s="512">
        <f t="shared" si="4"/>
        <v>0.32288786482334869</v>
      </c>
      <c r="H13" s="512">
        <f t="shared" si="4"/>
        <v>0.22871504869619855</v>
      </c>
      <c r="I13" s="512">
        <f t="shared" si="4"/>
        <v>0.22352941176470589</v>
      </c>
      <c r="J13" s="512">
        <f t="shared" si="4"/>
        <v>0.27384615384615385</v>
      </c>
      <c r="K13" s="512">
        <f>K12/K$16</f>
        <v>0.25785091457418213</v>
      </c>
    </row>
    <row r="14" spans="1:11" s="22" customFormat="1" ht="18.75" customHeight="1" x14ac:dyDescent="0.15">
      <c r="A14" s="721" t="s">
        <v>33</v>
      </c>
      <c r="B14" s="507">
        <f>SUM(B27:D27)</f>
        <v>54</v>
      </c>
      <c r="C14" s="507">
        <f>SUM(E27:F27)</f>
        <v>80</v>
      </c>
      <c r="D14" s="507">
        <f>SUM(G27:J27)</f>
        <v>76</v>
      </c>
      <c r="E14" s="507">
        <f>SUM(K27:L27)</f>
        <v>28</v>
      </c>
      <c r="F14" s="507">
        <f>SUM(M27:N27)</f>
        <v>38</v>
      </c>
      <c r="G14" s="507">
        <f>SUM(O27:Q27)</f>
        <v>160</v>
      </c>
      <c r="H14" s="507">
        <f>R27</f>
        <v>110</v>
      </c>
      <c r="I14" s="507">
        <f>S27</f>
        <v>54</v>
      </c>
      <c r="J14" s="507">
        <f>SUM(T27:U27)</f>
        <v>65</v>
      </c>
      <c r="K14" s="508">
        <f>SUM(B14:J14)</f>
        <v>665</v>
      </c>
    </row>
    <row r="15" spans="1:11" s="22" customFormat="1" ht="18.75" customHeight="1" x14ac:dyDescent="0.15">
      <c r="A15" s="723"/>
      <c r="B15" s="512">
        <f>B14/B$16</f>
        <v>4.4628099173553717E-2</v>
      </c>
      <c r="C15" s="512">
        <f t="shared" ref="C15:J15" si="5">C14/C$16</f>
        <v>6.3795853269537475E-2</v>
      </c>
      <c r="D15" s="512">
        <f t="shared" si="5"/>
        <v>5.7706909643128322E-2</v>
      </c>
      <c r="E15" s="512">
        <f t="shared" si="5"/>
        <v>2.3748939779474131E-2</v>
      </c>
      <c r="F15" s="512">
        <f t="shared" si="5"/>
        <v>3.7073170731707315E-2</v>
      </c>
      <c r="G15" s="512">
        <f t="shared" si="5"/>
        <v>4.9155145929339478E-2</v>
      </c>
      <c r="H15" s="512">
        <f t="shared" si="5"/>
        <v>3.4558592522777251E-2</v>
      </c>
      <c r="I15" s="512">
        <f t="shared" si="5"/>
        <v>3.5294117647058823E-2</v>
      </c>
      <c r="J15" s="512">
        <f t="shared" si="5"/>
        <v>0.05</v>
      </c>
      <c r="K15" s="512">
        <f>K14/K$16</f>
        <v>4.3597980725103257E-2</v>
      </c>
    </row>
    <row r="16" spans="1:11" s="22" customFormat="1" ht="18.75" customHeight="1" x14ac:dyDescent="0.15">
      <c r="A16" s="742" t="s">
        <v>11</v>
      </c>
      <c r="B16" s="620">
        <f>SUM(B4,B6,B8,B10,B12,B14)</f>
        <v>1210</v>
      </c>
      <c r="C16" s="620">
        <f t="shared" ref="C16:J17" si="6">SUM(C4,C6,C8,C10,C12,C14)</f>
        <v>1254</v>
      </c>
      <c r="D16" s="620">
        <f t="shared" si="6"/>
        <v>1317</v>
      </c>
      <c r="E16" s="620">
        <f t="shared" si="6"/>
        <v>1179</v>
      </c>
      <c r="F16" s="620">
        <f t="shared" si="6"/>
        <v>1025</v>
      </c>
      <c r="G16" s="620">
        <f t="shared" si="6"/>
        <v>3255</v>
      </c>
      <c r="H16" s="620">
        <f t="shared" si="6"/>
        <v>3183</v>
      </c>
      <c r="I16" s="620">
        <f t="shared" si="6"/>
        <v>1530</v>
      </c>
      <c r="J16" s="620">
        <f t="shared" si="6"/>
        <v>1300</v>
      </c>
      <c r="K16" s="621">
        <f>SUM(K4,K6,K8,K10,K12,K14)</f>
        <v>15253</v>
      </c>
    </row>
    <row r="17" spans="1:21" s="22" customFormat="1" ht="18.75" customHeight="1" x14ac:dyDescent="0.15">
      <c r="A17" s="743"/>
      <c r="B17" s="622">
        <f t="shared" ref="B17:I17" si="7">SUM(B5,B7,B9,B11,B13,B15)</f>
        <v>1</v>
      </c>
      <c r="C17" s="622">
        <f t="shared" si="7"/>
        <v>1</v>
      </c>
      <c r="D17" s="622">
        <f t="shared" si="7"/>
        <v>0.99999999999999989</v>
      </c>
      <c r="E17" s="622">
        <f t="shared" si="7"/>
        <v>1</v>
      </c>
      <c r="F17" s="622">
        <f t="shared" si="7"/>
        <v>1</v>
      </c>
      <c r="G17" s="622">
        <f t="shared" si="7"/>
        <v>0.99999999999999989</v>
      </c>
      <c r="H17" s="622">
        <f t="shared" si="7"/>
        <v>1</v>
      </c>
      <c r="I17" s="622">
        <f t="shared" si="7"/>
        <v>1</v>
      </c>
      <c r="J17" s="622">
        <f t="shared" si="6"/>
        <v>1</v>
      </c>
      <c r="K17" s="622">
        <f>SUM(K5,K7,K9,K11,K13,K15)</f>
        <v>1</v>
      </c>
    </row>
    <row r="19" spans="1:21" hidden="1" x14ac:dyDescent="0.15"/>
    <row r="20" spans="1:21" hidden="1" x14ac:dyDescent="0.15">
      <c r="A20" s="56"/>
      <c r="B20" s="377"/>
      <c r="C20" s="377"/>
      <c r="D20" s="377"/>
      <c r="E20" s="377"/>
      <c r="F20" s="377"/>
      <c r="G20" s="377"/>
      <c r="H20" s="377"/>
      <c r="I20" s="377"/>
    </row>
    <row r="21" spans="1:21" hidden="1" x14ac:dyDescent="0.15">
      <c r="A21" s="377" t="s">
        <v>370</v>
      </c>
      <c r="B21" s="538" t="s">
        <v>384</v>
      </c>
      <c r="C21" s="538" t="s">
        <v>385</v>
      </c>
      <c r="D21" s="538" t="s">
        <v>386</v>
      </c>
      <c r="E21" s="538" t="s">
        <v>387</v>
      </c>
      <c r="F21" s="538" t="s">
        <v>388</v>
      </c>
      <c r="G21" s="538" t="s">
        <v>389</v>
      </c>
      <c r="H21" s="538" t="s">
        <v>390</v>
      </c>
      <c r="I21" s="538" t="s">
        <v>391</v>
      </c>
      <c r="J21" s="538" t="s">
        <v>392</v>
      </c>
      <c r="K21" s="538" t="s">
        <v>393</v>
      </c>
      <c r="L21" s="538" t="s">
        <v>394</v>
      </c>
      <c r="M21" s="538" t="s">
        <v>395</v>
      </c>
      <c r="N21" s="538" t="s">
        <v>396</v>
      </c>
      <c r="O21" s="538" t="s">
        <v>397</v>
      </c>
      <c r="P21" s="538" t="s">
        <v>398</v>
      </c>
      <c r="Q21" s="538" t="s">
        <v>399</v>
      </c>
      <c r="R21" s="538" t="s">
        <v>400</v>
      </c>
      <c r="S21" s="538" t="s">
        <v>401</v>
      </c>
      <c r="T21" s="538" t="s">
        <v>464</v>
      </c>
      <c r="U21" s="55" t="s">
        <v>591</v>
      </c>
    </row>
    <row r="22" spans="1:21" hidden="1" x14ac:dyDescent="0.15">
      <c r="A22" s="43">
        <v>1</v>
      </c>
      <c r="B22" s="23">
        <v>7</v>
      </c>
      <c r="C22" s="23">
        <v>17</v>
      </c>
      <c r="D22" s="23">
        <v>13</v>
      </c>
      <c r="E22" s="23">
        <v>9</v>
      </c>
      <c r="F22" s="23">
        <v>10</v>
      </c>
      <c r="G22" s="23">
        <v>5</v>
      </c>
      <c r="H22" s="23">
        <v>11</v>
      </c>
      <c r="I22" s="23">
        <v>7</v>
      </c>
      <c r="J22" s="23">
        <v>11</v>
      </c>
      <c r="K22" s="23">
        <v>12</v>
      </c>
      <c r="L22" s="23">
        <v>32</v>
      </c>
      <c r="M22" s="23">
        <v>6</v>
      </c>
      <c r="N22" s="23">
        <v>23</v>
      </c>
      <c r="O22" s="23">
        <v>8</v>
      </c>
      <c r="P22" s="23">
        <v>10</v>
      </c>
      <c r="Q22" s="23">
        <v>10</v>
      </c>
      <c r="R22" s="23">
        <v>96</v>
      </c>
      <c r="S22" s="23">
        <v>27</v>
      </c>
      <c r="T22" s="23">
        <v>23</v>
      </c>
      <c r="U22" s="23">
        <v>2</v>
      </c>
    </row>
    <row r="23" spans="1:21" hidden="1" x14ac:dyDescent="0.15">
      <c r="A23" s="43">
        <v>2</v>
      </c>
      <c r="B23" s="23">
        <v>23</v>
      </c>
      <c r="C23" s="23">
        <v>42</v>
      </c>
      <c r="D23" s="23">
        <v>35</v>
      </c>
      <c r="E23" s="23">
        <v>40</v>
      </c>
      <c r="F23" s="23">
        <v>49</v>
      </c>
      <c r="G23" s="23">
        <v>26</v>
      </c>
      <c r="H23" s="23">
        <v>36</v>
      </c>
      <c r="I23" s="23">
        <v>32</v>
      </c>
      <c r="J23" s="23">
        <v>22</v>
      </c>
      <c r="K23" s="23">
        <v>106</v>
      </c>
      <c r="L23" s="23">
        <v>76</v>
      </c>
      <c r="M23" s="23">
        <v>40</v>
      </c>
      <c r="N23" s="23">
        <v>66</v>
      </c>
      <c r="O23" s="23">
        <v>75</v>
      </c>
      <c r="P23" s="23">
        <v>62</v>
      </c>
      <c r="Q23" s="23">
        <v>57</v>
      </c>
      <c r="R23" s="23">
        <v>331</v>
      </c>
      <c r="S23" s="23">
        <v>181</v>
      </c>
      <c r="T23" s="23">
        <v>121</v>
      </c>
      <c r="U23" s="23">
        <v>7</v>
      </c>
    </row>
    <row r="24" spans="1:21" hidden="1" x14ac:dyDescent="0.15">
      <c r="A24" s="43">
        <v>3</v>
      </c>
      <c r="B24" s="23">
        <v>47</v>
      </c>
      <c r="C24" s="23">
        <v>74</v>
      </c>
      <c r="D24" s="23">
        <v>90</v>
      </c>
      <c r="E24" s="23">
        <v>99</v>
      </c>
      <c r="F24" s="23">
        <v>113</v>
      </c>
      <c r="G24" s="23">
        <v>64</v>
      </c>
      <c r="H24" s="23">
        <v>54</v>
      </c>
      <c r="I24" s="23">
        <v>46</v>
      </c>
      <c r="J24" s="23">
        <v>55</v>
      </c>
      <c r="K24" s="23">
        <v>198</v>
      </c>
      <c r="L24" s="23">
        <v>98</v>
      </c>
      <c r="M24" s="23">
        <v>96</v>
      </c>
      <c r="N24" s="23">
        <v>95</v>
      </c>
      <c r="O24" s="23">
        <v>170</v>
      </c>
      <c r="P24" s="23">
        <v>212</v>
      </c>
      <c r="Q24" s="23">
        <v>142</v>
      </c>
      <c r="R24" s="23">
        <v>680</v>
      </c>
      <c r="S24" s="23">
        <v>311</v>
      </c>
      <c r="T24" s="23">
        <v>204</v>
      </c>
      <c r="U24" s="23">
        <v>21</v>
      </c>
    </row>
    <row r="25" spans="1:21" hidden="1" x14ac:dyDescent="0.15">
      <c r="A25" s="43">
        <v>4</v>
      </c>
      <c r="B25" s="23">
        <v>144</v>
      </c>
      <c r="C25" s="23">
        <v>153</v>
      </c>
      <c r="D25" s="23">
        <v>169</v>
      </c>
      <c r="E25" s="23">
        <v>286</v>
      </c>
      <c r="F25" s="23">
        <v>204</v>
      </c>
      <c r="G25" s="23">
        <v>187</v>
      </c>
      <c r="H25" s="23">
        <v>95</v>
      </c>
      <c r="I25" s="23">
        <v>130</v>
      </c>
      <c r="J25" s="23">
        <v>107</v>
      </c>
      <c r="K25" s="23">
        <v>269</v>
      </c>
      <c r="L25" s="23">
        <v>175</v>
      </c>
      <c r="M25" s="23">
        <v>234</v>
      </c>
      <c r="N25" s="23">
        <v>215</v>
      </c>
      <c r="O25" s="23">
        <v>389</v>
      </c>
      <c r="P25" s="23">
        <v>484</v>
      </c>
      <c r="Q25" s="23">
        <v>425</v>
      </c>
      <c r="R25" s="23">
        <v>1238</v>
      </c>
      <c r="S25" s="23">
        <v>615</v>
      </c>
      <c r="T25" s="23">
        <v>456</v>
      </c>
      <c r="U25" s="23">
        <v>45</v>
      </c>
    </row>
    <row r="26" spans="1:21" hidden="1" x14ac:dyDescent="0.15">
      <c r="A26" s="43">
        <v>5</v>
      </c>
      <c r="B26" s="23">
        <v>100</v>
      </c>
      <c r="C26" s="23">
        <v>131</v>
      </c>
      <c r="D26" s="23">
        <v>111</v>
      </c>
      <c r="E26" s="23">
        <v>224</v>
      </c>
      <c r="F26" s="23">
        <v>140</v>
      </c>
      <c r="G26" s="23">
        <v>124</v>
      </c>
      <c r="H26" s="23">
        <v>66</v>
      </c>
      <c r="I26" s="23">
        <v>102</v>
      </c>
      <c r="J26" s="23">
        <v>61</v>
      </c>
      <c r="K26" s="23">
        <v>120</v>
      </c>
      <c r="L26" s="23">
        <v>65</v>
      </c>
      <c r="M26" s="23">
        <v>98</v>
      </c>
      <c r="N26" s="23">
        <v>114</v>
      </c>
      <c r="O26" s="23">
        <v>253</v>
      </c>
      <c r="P26" s="23">
        <v>489</v>
      </c>
      <c r="Q26" s="23">
        <v>309</v>
      </c>
      <c r="R26" s="23">
        <v>728</v>
      </c>
      <c r="S26" s="23">
        <v>342</v>
      </c>
      <c r="T26" s="23">
        <v>331</v>
      </c>
      <c r="U26" s="23">
        <v>25</v>
      </c>
    </row>
    <row r="27" spans="1:21" hidden="1" x14ac:dyDescent="0.15">
      <c r="A27" s="43">
        <v>6</v>
      </c>
      <c r="B27" s="23">
        <v>14</v>
      </c>
      <c r="C27" s="23">
        <v>28</v>
      </c>
      <c r="D27" s="23">
        <v>12</v>
      </c>
      <c r="E27" s="23">
        <v>37</v>
      </c>
      <c r="F27" s="23">
        <v>43</v>
      </c>
      <c r="G27" s="23">
        <v>20</v>
      </c>
      <c r="H27" s="23">
        <v>10</v>
      </c>
      <c r="I27" s="23">
        <v>27</v>
      </c>
      <c r="J27" s="23">
        <v>19</v>
      </c>
      <c r="K27" s="23">
        <v>13</v>
      </c>
      <c r="L27" s="23">
        <v>15</v>
      </c>
      <c r="M27" s="23">
        <v>11</v>
      </c>
      <c r="N27" s="23">
        <v>27</v>
      </c>
      <c r="O27" s="23">
        <v>26</v>
      </c>
      <c r="P27" s="23">
        <v>68</v>
      </c>
      <c r="Q27" s="23">
        <v>66</v>
      </c>
      <c r="R27" s="23">
        <v>110</v>
      </c>
      <c r="S27" s="23">
        <v>54</v>
      </c>
      <c r="T27" s="23">
        <v>57</v>
      </c>
      <c r="U27" s="23">
        <v>8</v>
      </c>
    </row>
    <row r="28" spans="1:21" hidden="1" x14ac:dyDescent="0.15"/>
  </sheetData>
  <mergeCells count="7">
    <mergeCell ref="A16:A17"/>
    <mergeCell ref="A4:A5"/>
    <mergeCell ref="A6:A7"/>
    <mergeCell ref="A8:A9"/>
    <mergeCell ref="A10:A11"/>
    <mergeCell ref="A12:A13"/>
    <mergeCell ref="A14:A15"/>
  </mergeCells>
  <phoneticPr fontId="2"/>
  <printOptions horizontalCentered="1"/>
  <pageMargins left="0.70866141732283472" right="0.70866141732283472" top="0.74803149606299213" bottom="0.74803149606299213" header="0.31496062992125984" footer="0.31496062992125984"/>
  <pageSetup paperSize="9" scale="91" orientation="portrait" r:id="rId1"/>
  <ignoredErrors>
    <ignoredError sqref="B4:K4" formulaRange="1"/>
    <ignoredError sqref="B5:K14" formula="1"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47105" r:id="rId4" name="Button 1">
              <controlPr defaultSize="0" print="0" autoFill="0" autoPict="0" macro="[0]!データ削除35">
                <anchor moveWithCells="1" sizeWithCells="1">
                  <from>
                    <xdr:col>12</xdr:col>
                    <xdr:colOff>123825</xdr:colOff>
                    <xdr:row>15</xdr:row>
                    <xdr:rowOff>171450</xdr:rowOff>
                  </from>
                  <to>
                    <xdr:col>15</xdr:col>
                    <xdr:colOff>314325</xdr:colOff>
                    <xdr:row>18</xdr:row>
                    <xdr:rowOff>66675</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tabColor theme="5" tint="0.39997558519241921"/>
    <pageSetUpPr fitToPage="1"/>
  </sheetPr>
  <dimension ref="A1:AJ83"/>
  <sheetViews>
    <sheetView showGridLines="0" topLeftCell="A13" zoomScale="80" zoomScaleNormal="80" zoomScaleSheetLayoutView="90" workbookViewId="0">
      <selection activeCell="M1" sqref="M1:AK1048576"/>
    </sheetView>
  </sheetViews>
  <sheetFormatPr defaultColWidth="7.125" defaultRowHeight="18.75" x14ac:dyDescent="0.15"/>
  <cols>
    <col min="1" max="1" width="31.75" style="1" customWidth="1"/>
    <col min="2" max="11" width="8.75" style="1" customWidth="1"/>
    <col min="12" max="12" width="7.25" style="1" bestFit="1" customWidth="1"/>
    <col min="13" max="34" width="7.25" style="1" hidden="1" customWidth="1"/>
    <col min="35" max="35" width="7.375" style="1" hidden="1" customWidth="1"/>
    <col min="36" max="36" width="7.125" style="1" hidden="1" customWidth="1"/>
    <col min="37" max="37" width="0" style="1" hidden="1" customWidth="1"/>
    <col min="38" max="16384" width="7.125" style="1"/>
  </cols>
  <sheetData>
    <row r="1" spans="1:34" s="3" customFormat="1" ht="19.5" x14ac:dyDescent="0.15">
      <c r="A1" s="2" t="s">
        <v>471</v>
      </c>
    </row>
    <row r="2" spans="1:34" x14ac:dyDescent="0.15">
      <c r="A2" s="4"/>
    </row>
    <row r="3" spans="1:34" ht="37.5" x14ac:dyDescent="0.15">
      <c r="A3" s="506" t="s">
        <v>240</v>
      </c>
      <c r="B3" s="506" t="s">
        <v>376</v>
      </c>
      <c r="C3" s="506" t="s">
        <v>377</v>
      </c>
      <c r="D3" s="506" t="s">
        <v>378</v>
      </c>
      <c r="E3" s="506" t="s">
        <v>379</v>
      </c>
      <c r="F3" s="506" t="s">
        <v>380</v>
      </c>
      <c r="G3" s="506" t="s">
        <v>381</v>
      </c>
      <c r="H3" s="506" t="s">
        <v>382</v>
      </c>
      <c r="I3" s="506" t="s">
        <v>383</v>
      </c>
      <c r="J3" s="535" t="s">
        <v>463</v>
      </c>
      <c r="K3" s="506" t="s">
        <v>62</v>
      </c>
      <c r="N3" s="34" t="s">
        <v>370</v>
      </c>
      <c r="O3" s="538" t="s">
        <v>384</v>
      </c>
      <c r="P3" s="538" t="s">
        <v>385</v>
      </c>
      <c r="Q3" s="538" t="s">
        <v>386</v>
      </c>
      <c r="R3" s="538" t="s">
        <v>387</v>
      </c>
      <c r="S3" s="538" t="s">
        <v>388</v>
      </c>
      <c r="T3" s="538" t="s">
        <v>389</v>
      </c>
      <c r="U3" s="538" t="s">
        <v>390</v>
      </c>
      <c r="V3" s="538" t="s">
        <v>391</v>
      </c>
      <c r="W3" s="538" t="s">
        <v>392</v>
      </c>
      <c r="X3" s="538" t="s">
        <v>393</v>
      </c>
      <c r="Y3" s="538" t="s">
        <v>394</v>
      </c>
      <c r="Z3" s="538" t="s">
        <v>395</v>
      </c>
      <c r="AA3" s="538" t="s">
        <v>396</v>
      </c>
      <c r="AB3" s="538" t="s">
        <v>397</v>
      </c>
      <c r="AC3" s="538" t="s">
        <v>398</v>
      </c>
      <c r="AD3" s="538" t="s">
        <v>399</v>
      </c>
      <c r="AE3" s="538" t="s">
        <v>400</v>
      </c>
      <c r="AF3" s="538" t="s">
        <v>401</v>
      </c>
      <c r="AG3" s="538" t="s">
        <v>464</v>
      </c>
      <c r="AH3" s="55" t="s">
        <v>591</v>
      </c>
    </row>
    <row r="4" spans="1:34" s="22" customFormat="1" ht="21" customHeight="1" x14ac:dyDescent="0.15">
      <c r="A4" s="736" t="s">
        <v>448</v>
      </c>
      <c r="B4" s="508">
        <f>SUM(O4:Q4)</f>
        <v>181</v>
      </c>
      <c r="C4" s="508">
        <f>SUM(R4:S4)</f>
        <v>160</v>
      </c>
      <c r="D4" s="508">
        <f>SUM(T4:W4)</f>
        <v>246</v>
      </c>
      <c r="E4" s="508">
        <f>SUM(X4:Y4)</f>
        <v>230</v>
      </c>
      <c r="F4" s="508">
        <f>SUM(Z4:AA4)</f>
        <v>175</v>
      </c>
      <c r="G4" s="508">
        <f>SUM(AB4:AD4)</f>
        <v>309</v>
      </c>
      <c r="H4" s="508">
        <f>AE4</f>
        <v>470</v>
      </c>
      <c r="I4" s="508">
        <f>AF4</f>
        <v>227</v>
      </c>
      <c r="J4" s="508">
        <f>SUM(AG4:AH4)</f>
        <v>189</v>
      </c>
      <c r="K4" s="508">
        <f>SUM(B4:J4)</f>
        <v>2187</v>
      </c>
      <c r="N4" s="406">
        <v>97</v>
      </c>
      <c r="O4" s="23">
        <v>57</v>
      </c>
      <c r="P4" s="23">
        <v>61</v>
      </c>
      <c r="Q4" s="23">
        <v>63</v>
      </c>
      <c r="R4" s="23">
        <v>78</v>
      </c>
      <c r="S4" s="23">
        <v>82</v>
      </c>
      <c r="T4" s="23">
        <v>87</v>
      </c>
      <c r="U4" s="23">
        <v>55</v>
      </c>
      <c r="V4" s="23">
        <v>54</v>
      </c>
      <c r="W4" s="23">
        <v>50</v>
      </c>
      <c r="X4" s="23">
        <v>141</v>
      </c>
      <c r="Y4" s="23">
        <v>89</v>
      </c>
      <c r="Z4" s="23">
        <v>82</v>
      </c>
      <c r="AA4" s="23">
        <v>93</v>
      </c>
      <c r="AB4" s="23">
        <v>124</v>
      </c>
      <c r="AC4" s="23">
        <v>113</v>
      </c>
      <c r="AD4" s="23">
        <v>72</v>
      </c>
      <c r="AE4" s="23">
        <v>470</v>
      </c>
      <c r="AF4" s="23">
        <v>227</v>
      </c>
      <c r="AG4" s="23">
        <v>173</v>
      </c>
      <c r="AH4" s="23">
        <v>16</v>
      </c>
    </row>
    <row r="5" spans="1:34" s="22" customFormat="1" ht="21" customHeight="1" x14ac:dyDescent="0.15">
      <c r="A5" s="737"/>
      <c r="B5" s="533">
        <f t="shared" ref="B5:K5" si="0">B4/B$10</f>
        <v>0.14958677685950414</v>
      </c>
      <c r="C5" s="533">
        <f t="shared" si="0"/>
        <v>0.12759170653907495</v>
      </c>
      <c r="D5" s="533">
        <f t="shared" si="0"/>
        <v>0.18678815489749431</v>
      </c>
      <c r="E5" s="533">
        <f t="shared" si="0"/>
        <v>0.19508057675996607</v>
      </c>
      <c r="F5" s="533">
        <f t="shared" si="0"/>
        <v>0.17073170731707318</v>
      </c>
      <c r="G5" s="533">
        <f t="shared" si="0"/>
        <v>9.4930875576036869E-2</v>
      </c>
      <c r="H5" s="533">
        <f t="shared" si="0"/>
        <v>0.14765944077913917</v>
      </c>
      <c r="I5" s="533">
        <f t="shared" si="0"/>
        <v>0.14836601307189543</v>
      </c>
      <c r="J5" s="533">
        <f t="shared" si="0"/>
        <v>0.14538461538461539</v>
      </c>
      <c r="K5" s="512">
        <f t="shared" si="0"/>
        <v>0.14338162984330952</v>
      </c>
      <c r="N5" s="406">
        <v>98</v>
      </c>
      <c r="O5" s="23">
        <v>240</v>
      </c>
      <c r="P5" s="23">
        <v>324</v>
      </c>
      <c r="Q5" s="23">
        <v>306</v>
      </c>
      <c r="R5" s="23">
        <v>552</v>
      </c>
      <c r="S5" s="23">
        <v>420</v>
      </c>
      <c r="T5" s="23">
        <v>307</v>
      </c>
      <c r="U5" s="23">
        <v>172</v>
      </c>
      <c r="V5" s="23">
        <v>243</v>
      </c>
      <c r="W5" s="23">
        <v>176</v>
      </c>
      <c r="X5" s="23">
        <v>489</v>
      </c>
      <c r="Y5" s="23">
        <v>298</v>
      </c>
      <c r="Z5" s="23">
        <v>336</v>
      </c>
      <c r="AA5" s="23">
        <v>381</v>
      </c>
      <c r="AB5" s="23">
        <v>711</v>
      </c>
      <c r="AC5" s="23">
        <v>1143</v>
      </c>
      <c r="AD5" s="23">
        <v>869</v>
      </c>
      <c r="AE5" s="23">
        <v>2284</v>
      </c>
      <c r="AF5" s="23">
        <v>1090</v>
      </c>
      <c r="AG5" s="23">
        <v>899</v>
      </c>
      <c r="AH5" s="23">
        <v>81</v>
      </c>
    </row>
    <row r="6" spans="1:34" s="22" customFormat="1" ht="21" customHeight="1" x14ac:dyDescent="0.15">
      <c r="A6" s="736" t="s">
        <v>339</v>
      </c>
      <c r="B6" s="508">
        <f>SUM(O5:Q5)</f>
        <v>870</v>
      </c>
      <c r="C6" s="508">
        <f>SUM(R5:S5)</f>
        <v>972</v>
      </c>
      <c r="D6" s="508">
        <f>SUM(T5:W5)</f>
        <v>898</v>
      </c>
      <c r="E6" s="508">
        <f>SUM(X5:Y5)</f>
        <v>787</v>
      </c>
      <c r="F6" s="508">
        <f>SUM(Z5:AA5)</f>
        <v>717</v>
      </c>
      <c r="G6" s="508">
        <f>SUM(AB5:AD5)</f>
        <v>2723</v>
      </c>
      <c r="H6" s="508">
        <f>AE5</f>
        <v>2284</v>
      </c>
      <c r="I6" s="508">
        <f>AF5</f>
        <v>1090</v>
      </c>
      <c r="J6" s="508">
        <f>SUM(AG5:AH5)</f>
        <v>980</v>
      </c>
      <c r="K6" s="508">
        <f>SUM(B6:J6)</f>
        <v>11321</v>
      </c>
      <c r="N6" s="406">
        <v>99</v>
      </c>
      <c r="O6" s="23">
        <v>38</v>
      </c>
      <c r="P6" s="23">
        <v>60</v>
      </c>
      <c r="Q6" s="23">
        <v>61</v>
      </c>
      <c r="R6" s="23">
        <v>65</v>
      </c>
      <c r="S6" s="23">
        <v>57</v>
      </c>
      <c r="T6" s="23">
        <v>32</v>
      </c>
      <c r="U6" s="23">
        <v>45</v>
      </c>
      <c r="V6" s="23">
        <v>47</v>
      </c>
      <c r="W6" s="23">
        <v>49</v>
      </c>
      <c r="X6" s="23">
        <v>88</v>
      </c>
      <c r="Y6" s="23">
        <v>74</v>
      </c>
      <c r="Z6" s="23">
        <v>67</v>
      </c>
      <c r="AA6" s="23">
        <v>66</v>
      </c>
      <c r="AB6" s="23">
        <v>86</v>
      </c>
      <c r="AC6" s="23">
        <v>69</v>
      </c>
      <c r="AD6" s="23">
        <v>68</v>
      </c>
      <c r="AE6" s="23">
        <v>429</v>
      </c>
      <c r="AF6" s="23">
        <v>213</v>
      </c>
      <c r="AG6" s="23">
        <v>120</v>
      </c>
      <c r="AH6" s="23">
        <v>11</v>
      </c>
    </row>
    <row r="7" spans="1:34" s="22" customFormat="1" ht="21" customHeight="1" x14ac:dyDescent="0.15">
      <c r="A7" s="737"/>
      <c r="B7" s="533">
        <f t="shared" ref="B7:K7" si="1">B6/B$10</f>
        <v>0.71900826446280997</v>
      </c>
      <c r="C7" s="533">
        <f t="shared" si="1"/>
        <v>0.77511961722488043</v>
      </c>
      <c r="D7" s="533">
        <f t="shared" si="1"/>
        <v>0.68185269552012151</v>
      </c>
      <c r="E7" s="533">
        <f t="shared" si="1"/>
        <v>0.6675148430873622</v>
      </c>
      <c r="F7" s="533">
        <f t="shared" si="1"/>
        <v>0.69951219512195117</v>
      </c>
      <c r="G7" s="533">
        <f t="shared" si="1"/>
        <v>0.83655913978494623</v>
      </c>
      <c r="H7" s="533">
        <f t="shared" si="1"/>
        <v>0.71756204838202953</v>
      </c>
      <c r="I7" s="533">
        <f t="shared" si="1"/>
        <v>0.71241830065359479</v>
      </c>
      <c r="J7" s="533">
        <f t="shared" si="1"/>
        <v>0.75384615384615383</v>
      </c>
      <c r="K7" s="533">
        <f t="shared" si="1"/>
        <v>0.74221464629908873</v>
      </c>
      <c r="N7" s="406"/>
    </row>
    <row r="8" spans="1:34" s="22" customFormat="1" x14ac:dyDescent="0.15">
      <c r="A8" s="738" t="s">
        <v>36</v>
      </c>
      <c r="B8" s="508">
        <f>SUM(O6:Q6)</f>
        <v>159</v>
      </c>
      <c r="C8" s="508">
        <f>SUM(R6:S6)</f>
        <v>122</v>
      </c>
      <c r="D8" s="508">
        <f>SUM(T6:W6)</f>
        <v>173</v>
      </c>
      <c r="E8" s="508">
        <f>SUM(X6:Y6)</f>
        <v>162</v>
      </c>
      <c r="F8" s="508">
        <f>SUM(Z6:AA6)</f>
        <v>133</v>
      </c>
      <c r="G8" s="508">
        <f>SUM(AB6:AD6)</f>
        <v>223</v>
      </c>
      <c r="H8" s="508">
        <f>AE6</f>
        <v>429</v>
      </c>
      <c r="I8" s="508">
        <f>AF6</f>
        <v>213</v>
      </c>
      <c r="J8" s="508">
        <f>SUM(AG6:AH6)</f>
        <v>131</v>
      </c>
      <c r="K8" s="508">
        <f>SUM(B8:J8)</f>
        <v>1745</v>
      </c>
    </row>
    <row r="9" spans="1:34" s="22" customFormat="1" x14ac:dyDescent="0.15">
      <c r="A9" s="739"/>
      <c r="B9" s="533">
        <f>B8/B$10</f>
        <v>0.13140495867768595</v>
      </c>
      <c r="C9" s="533">
        <f t="shared" ref="C9:J9" si="2">C8/C$10</f>
        <v>9.7288676236044661E-2</v>
      </c>
      <c r="D9" s="533">
        <f t="shared" si="2"/>
        <v>0.1313591495823842</v>
      </c>
      <c r="E9" s="533">
        <f t="shared" si="2"/>
        <v>0.13740458015267176</v>
      </c>
      <c r="F9" s="533">
        <f t="shared" si="2"/>
        <v>0.12975609756097561</v>
      </c>
      <c r="G9" s="533">
        <f t="shared" si="2"/>
        <v>6.8509984639016891E-2</v>
      </c>
      <c r="H9" s="533">
        <f t="shared" si="2"/>
        <v>0.1347785108388313</v>
      </c>
      <c r="I9" s="533">
        <f t="shared" si="2"/>
        <v>0.13921568627450981</v>
      </c>
      <c r="J9" s="533">
        <f t="shared" si="2"/>
        <v>0.10076923076923076</v>
      </c>
      <c r="K9" s="533">
        <f>K8/K$10</f>
        <v>0.11440372385760178</v>
      </c>
    </row>
    <row r="10" spans="1:34" s="22" customFormat="1" x14ac:dyDescent="0.15">
      <c r="A10" s="536" t="s">
        <v>11</v>
      </c>
      <c r="B10" s="620">
        <f>SUM(B4,B6,B8)</f>
        <v>1210</v>
      </c>
      <c r="C10" s="620">
        <f t="shared" ref="C10:K11" si="3">SUM(C4,C6,C8)</f>
        <v>1254</v>
      </c>
      <c r="D10" s="620">
        <f t="shared" si="3"/>
        <v>1317</v>
      </c>
      <c r="E10" s="620">
        <f t="shared" si="3"/>
        <v>1179</v>
      </c>
      <c r="F10" s="620">
        <f t="shared" si="3"/>
        <v>1025</v>
      </c>
      <c r="G10" s="620">
        <f t="shared" si="3"/>
        <v>3255</v>
      </c>
      <c r="H10" s="620">
        <f t="shared" si="3"/>
        <v>3183</v>
      </c>
      <c r="I10" s="620">
        <f t="shared" si="3"/>
        <v>1530</v>
      </c>
      <c r="J10" s="620">
        <f t="shared" si="3"/>
        <v>1300</v>
      </c>
      <c r="K10" s="620">
        <f t="shared" si="3"/>
        <v>15253</v>
      </c>
    </row>
    <row r="11" spans="1:34" s="22" customFormat="1" x14ac:dyDescent="0.15">
      <c r="A11" s="537"/>
      <c r="B11" s="622">
        <f>SUM(B5,B7,B9)</f>
        <v>1</v>
      </c>
      <c r="C11" s="622">
        <f t="shared" si="3"/>
        <v>1</v>
      </c>
      <c r="D11" s="622">
        <f t="shared" si="3"/>
        <v>1</v>
      </c>
      <c r="E11" s="622">
        <f t="shared" si="3"/>
        <v>1</v>
      </c>
      <c r="F11" s="622">
        <f t="shared" si="3"/>
        <v>1</v>
      </c>
      <c r="G11" s="622">
        <f t="shared" si="3"/>
        <v>1</v>
      </c>
      <c r="H11" s="622">
        <f t="shared" si="3"/>
        <v>1</v>
      </c>
      <c r="I11" s="622">
        <f t="shared" si="3"/>
        <v>1</v>
      </c>
      <c r="J11" s="622">
        <f t="shared" si="3"/>
        <v>1</v>
      </c>
      <c r="K11" s="622">
        <f t="shared" si="3"/>
        <v>1</v>
      </c>
      <c r="M11" s="548"/>
    </row>
    <row r="12" spans="1:34" x14ac:dyDescent="0.15">
      <c r="A12" s="4"/>
    </row>
    <row r="13" spans="1:34" ht="37.5" x14ac:dyDescent="0.15">
      <c r="A13" s="506" t="s">
        <v>346</v>
      </c>
      <c r="B13" s="506" t="s">
        <v>376</v>
      </c>
      <c r="C13" s="506" t="s">
        <v>377</v>
      </c>
      <c r="D13" s="506" t="s">
        <v>378</v>
      </c>
      <c r="E13" s="506" t="s">
        <v>379</v>
      </c>
      <c r="F13" s="506" t="s">
        <v>380</v>
      </c>
      <c r="G13" s="506" t="s">
        <v>381</v>
      </c>
      <c r="H13" s="506" t="s">
        <v>382</v>
      </c>
      <c r="I13" s="506" t="s">
        <v>383</v>
      </c>
      <c r="J13" s="535" t="s">
        <v>463</v>
      </c>
      <c r="K13" s="506" t="s">
        <v>62</v>
      </c>
      <c r="N13" s="34" t="s">
        <v>370</v>
      </c>
      <c r="O13" s="56" t="s">
        <v>384</v>
      </c>
      <c r="P13" s="56" t="s">
        <v>385</v>
      </c>
      <c r="Q13" s="56" t="s">
        <v>386</v>
      </c>
      <c r="R13" s="56" t="s">
        <v>387</v>
      </c>
      <c r="S13" s="56" t="s">
        <v>388</v>
      </c>
      <c r="T13" s="56" t="s">
        <v>389</v>
      </c>
      <c r="U13" s="56" t="s">
        <v>390</v>
      </c>
      <c r="V13" s="56" t="s">
        <v>391</v>
      </c>
      <c r="W13" s="56" t="s">
        <v>392</v>
      </c>
      <c r="X13" s="56" t="s">
        <v>393</v>
      </c>
      <c r="Y13" s="56" t="s">
        <v>394</v>
      </c>
      <c r="Z13" s="56" t="s">
        <v>395</v>
      </c>
      <c r="AA13" s="56" t="s">
        <v>396</v>
      </c>
      <c r="AB13" s="56" t="s">
        <v>397</v>
      </c>
      <c r="AC13" s="56" t="s">
        <v>398</v>
      </c>
      <c r="AD13" s="56" t="s">
        <v>399</v>
      </c>
      <c r="AE13" s="56" t="s">
        <v>400</v>
      </c>
      <c r="AF13" s="56" t="s">
        <v>401</v>
      </c>
      <c r="AG13" s="538" t="s">
        <v>464</v>
      </c>
      <c r="AH13" s="55" t="s">
        <v>591</v>
      </c>
    </row>
    <row r="14" spans="1:34" s="22" customFormat="1" x14ac:dyDescent="0.15">
      <c r="A14" s="738" t="s">
        <v>34</v>
      </c>
      <c r="B14" s="508">
        <f>SUM(O14:Q14)</f>
        <v>163</v>
      </c>
      <c r="C14" s="508">
        <f>SUM(R14:S14)</f>
        <v>149</v>
      </c>
      <c r="D14" s="508">
        <f>SUM(T14:W14)</f>
        <v>226</v>
      </c>
      <c r="E14" s="508">
        <f>SUM(X14:Y14)</f>
        <v>196</v>
      </c>
      <c r="F14" s="508">
        <f>SUM(Z14:AA14)</f>
        <v>158</v>
      </c>
      <c r="G14" s="508">
        <f>SUM(AB14:AD14)</f>
        <v>284</v>
      </c>
      <c r="H14" s="508">
        <f>AE14</f>
        <v>416</v>
      </c>
      <c r="I14" s="508">
        <f>AF14</f>
        <v>199</v>
      </c>
      <c r="J14" s="508">
        <f>SUM(AG14:AH14)</f>
        <v>178</v>
      </c>
      <c r="K14" s="508">
        <f>SUM(B14:J14)</f>
        <v>1969</v>
      </c>
      <c r="N14" s="406">
        <v>91</v>
      </c>
      <c r="O14" s="23">
        <v>56</v>
      </c>
      <c r="P14" s="23">
        <v>49</v>
      </c>
      <c r="Q14" s="23">
        <v>58</v>
      </c>
      <c r="R14" s="23">
        <v>72</v>
      </c>
      <c r="S14" s="23">
        <v>77</v>
      </c>
      <c r="T14" s="23">
        <v>74</v>
      </c>
      <c r="U14" s="23">
        <v>54</v>
      </c>
      <c r="V14" s="23">
        <v>52</v>
      </c>
      <c r="W14" s="23">
        <v>46</v>
      </c>
      <c r="X14" s="23">
        <v>125</v>
      </c>
      <c r="Y14" s="23">
        <v>71</v>
      </c>
      <c r="Z14" s="23">
        <v>78</v>
      </c>
      <c r="AA14" s="23">
        <v>80</v>
      </c>
      <c r="AB14" s="23">
        <v>117</v>
      </c>
      <c r="AC14" s="23">
        <v>105</v>
      </c>
      <c r="AD14" s="23">
        <v>62</v>
      </c>
      <c r="AE14" s="23">
        <v>416</v>
      </c>
      <c r="AF14" s="23">
        <v>199</v>
      </c>
      <c r="AG14" s="23">
        <v>162</v>
      </c>
      <c r="AH14" s="23">
        <v>16</v>
      </c>
    </row>
    <row r="15" spans="1:34" s="22" customFormat="1" x14ac:dyDescent="0.15">
      <c r="A15" s="739"/>
      <c r="B15" s="533">
        <f>B14/B18</f>
        <v>0.90055248618784534</v>
      </c>
      <c r="C15" s="533">
        <f t="shared" ref="C15:K15" si="4">C14/C18</f>
        <v>0.93125000000000002</v>
      </c>
      <c r="D15" s="533">
        <f t="shared" si="4"/>
        <v>0.91869918699186992</v>
      </c>
      <c r="E15" s="533">
        <f t="shared" si="4"/>
        <v>0.85217391304347823</v>
      </c>
      <c r="F15" s="533">
        <f t="shared" si="4"/>
        <v>0.9028571428571428</v>
      </c>
      <c r="G15" s="533">
        <f t="shared" si="4"/>
        <v>0.91909385113268605</v>
      </c>
      <c r="H15" s="533">
        <f t="shared" si="4"/>
        <v>0.88510638297872335</v>
      </c>
      <c r="I15" s="533">
        <f t="shared" si="4"/>
        <v>0.87665198237885467</v>
      </c>
      <c r="J15" s="533">
        <f t="shared" si="4"/>
        <v>0.94179894179894175</v>
      </c>
      <c r="K15" s="533">
        <f t="shared" si="4"/>
        <v>0.90032007315957929</v>
      </c>
      <c r="N15" s="406">
        <v>90</v>
      </c>
      <c r="O15" s="23">
        <v>1</v>
      </c>
      <c r="P15" s="23">
        <v>12</v>
      </c>
      <c r="Q15" s="23">
        <v>5</v>
      </c>
      <c r="R15" s="23">
        <v>6</v>
      </c>
      <c r="S15" s="23">
        <v>5</v>
      </c>
      <c r="T15" s="23">
        <v>13</v>
      </c>
      <c r="U15" s="23">
        <v>1</v>
      </c>
      <c r="V15" s="23">
        <v>2</v>
      </c>
      <c r="W15" s="23">
        <v>4</v>
      </c>
      <c r="X15" s="23">
        <v>16</v>
      </c>
      <c r="Y15" s="23">
        <v>18</v>
      </c>
      <c r="Z15" s="23">
        <v>4</v>
      </c>
      <c r="AA15" s="23">
        <v>13</v>
      </c>
      <c r="AB15" s="23">
        <v>7</v>
      </c>
      <c r="AC15" s="23">
        <v>8</v>
      </c>
      <c r="AD15" s="23">
        <v>10</v>
      </c>
      <c r="AE15" s="23">
        <v>54</v>
      </c>
      <c r="AF15" s="23">
        <v>28</v>
      </c>
      <c r="AG15" s="23">
        <v>11</v>
      </c>
      <c r="AH15" s="23"/>
    </row>
    <row r="16" spans="1:34" s="22" customFormat="1" x14ac:dyDescent="0.15">
      <c r="A16" s="738" t="s">
        <v>449</v>
      </c>
      <c r="B16" s="508">
        <f>SUM(O15:Q15)</f>
        <v>18</v>
      </c>
      <c r="C16" s="508">
        <f>SUM(R15:S15)</f>
        <v>11</v>
      </c>
      <c r="D16" s="508">
        <f>SUM(T15:W15)</f>
        <v>20</v>
      </c>
      <c r="E16" s="508">
        <f>SUM(X15:Y15)</f>
        <v>34</v>
      </c>
      <c r="F16" s="508">
        <f>SUM(Z15:AA15)</f>
        <v>17</v>
      </c>
      <c r="G16" s="508">
        <f>SUM(AB15:AD15)</f>
        <v>25</v>
      </c>
      <c r="H16" s="508">
        <f>AE15</f>
        <v>54</v>
      </c>
      <c r="I16" s="508">
        <f>AF15</f>
        <v>28</v>
      </c>
      <c r="J16" s="508">
        <f>SUM(AG15:AH15)</f>
        <v>11</v>
      </c>
      <c r="K16" s="508">
        <f>SUM(B16:J16)</f>
        <v>218</v>
      </c>
      <c r="M16" s="406"/>
    </row>
    <row r="17" spans="1:13" s="22" customFormat="1" x14ac:dyDescent="0.15">
      <c r="A17" s="739"/>
      <c r="B17" s="533">
        <f>B16/B18</f>
        <v>9.9447513812154692E-2</v>
      </c>
      <c r="C17" s="533">
        <f t="shared" ref="C17:K17" si="5">C16/C18</f>
        <v>6.8750000000000006E-2</v>
      </c>
      <c r="D17" s="533">
        <f t="shared" si="5"/>
        <v>8.1300813008130079E-2</v>
      </c>
      <c r="E17" s="533">
        <f t="shared" si="5"/>
        <v>0.14782608695652175</v>
      </c>
      <c r="F17" s="533">
        <f t="shared" si="5"/>
        <v>9.7142857142857142E-2</v>
      </c>
      <c r="G17" s="533">
        <f t="shared" si="5"/>
        <v>8.0906148867313912E-2</v>
      </c>
      <c r="H17" s="533">
        <f t="shared" si="5"/>
        <v>0.1148936170212766</v>
      </c>
      <c r="I17" s="533">
        <f t="shared" si="5"/>
        <v>0.12334801762114538</v>
      </c>
      <c r="J17" s="533">
        <f t="shared" si="5"/>
        <v>5.8201058201058198E-2</v>
      </c>
      <c r="K17" s="533">
        <f t="shared" si="5"/>
        <v>9.9679926840420666E-2</v>
      </c>
      <c r="M17" s="406"/>
    </row>
    <row r="18" spans="1:13" s="22" customFormat="1" x14ac:dyDescent="0.15">
      <c r="A18" s="536" t="s">
        <v>11</v>
      </c>
      <c r="B18" s="620">
        <f>SUM(B14,B16)</f>
        <v>181</v>
      </c>
      <c r="C18" s="620">
        <f t="shared" ref="C18:K19" si="6">SUM(C14,C16)</f>
        <v>160</v>
      </c>
      <c r="D18" s="620">
        <f t="shared" si="6"/>
        <v>246</v>
      </c>
      <c r="E18" s="620">
        <f t="shared" si="6"/>
        <v>230</v>
      </c>
      <c r="F18" s="620">
        <f t="shared" si="6"/>
        <v>175</v>
      </c>
      <c r="G18" s="620">
        <f t="shared" si="6"/>
        <v>309</v>
      </c>
      <c r="H18" s="620">
        <f t="shared" si="6"/>
        <v>470</v>
      </c>
      <c r="I18" s="620">
        <f t="shared" si="6"/>
        <v>227</v>
      </c>
      <c r="J18" s="620">
        <f t="shared" si="6"/>
        <v>189</v>
      </c>
      <c r="K18" s="620">
        <f t="shared" si="6"/>
        <v>2187</v>
      </c>
    </row>
    <row r="19" spans="1:13" s="22" customFormat="1" x14ac:dyDescent="0.15">
      <c r="A19" s="537"/>
      <c r="B19" s="622">
        <f>SUM(B15,B17)</f>
        <v>1</v>
      </c>
      <c r="C19" s="622">
        <f t="shared" si="6"/>
        <v>1</v>
      </c>
      <c r="D19" s="622">
        <f t="shared" si="6"/>
        <v>1</v>
      </c>
      <c r="E19" s="622">
        <f t="shared" si="6"/>
        <v>1</v>
      </c>
      <c r="F19" s="622">
        <f t="shared" si="6"/>
        <v>1</v>
      </c>
      <c r="G19" s="622">
        <f t="shared" si="6"/>
        <v>1</v>
      </c>
      <c r="H19" s="622">
        <f t="shared" si="6"/>
        <v>1</v>
      </c>
      <c r="I19" s="622">
        <f t="shared" si="6"/>
        <v>1</v>
      </c>
      <c r="J19" s="622">
        <f t="shared" si="6"/>
        <v>1</v>
      </c>
      <c r="K19" s="622">
        <f>SUM(K15,K17)</f>
        <v>1</v>
      </c>
    </row>
    <row r="20" spans="1:13" x14ac:dyDescent="0.15">
      <c r="A20" s="4"/>
    </row>
    <row r="21" spans="1:13" s="3" customFormat="1" ht="19.5" x14ac:dyDescent="0.15">
      <c r="A21" s="2" t="s">
        <v>472</v>
      </c>
    </row>
    <row r="22" spans="1:13" x14ac:dyDescent="0.15">
      <c r="A22" s="4"/>
    </row>
    <row r="23" spans="1:13" ht="37.5" x14ac:dyDescent="0.15">
      <c r="A23" s="506"/>
      <c r="B23" s="506" t="s">
        <v>376</v>
      </c>
      <c r="C23" s="506" t="s">
        <v>377</v>
      </c>
      <c r="D23" s="506" t="s">
        <v>378</v>
      </c>
      <c r="E23" s="506" t="s">
        <v>379</v>
      </c>
      <c r="F23" s="506" t="s">
        <v>380</v>
      </c>
      <c r="G23" s="506" t="s">
        <v>381</v>
      </c>
      <c r="H23" s="506" t="s">
        <v>382</v>
      </c>
      <c r="I23" s="506" t="s">
        <v>383</v>
      </c>
      <c r="J23" s="535" t="s">
        <v>463</v>
      </c>
      <c r="K23" s="506" t="s">
        <v>62</v>
      </c>
    </row>
    <row r="24" spans="1:13" ht="18.75" customHeight="1" x14ac:dyDescent="0.15">
      <c r="A24" s="751" t="s">
        <v>355</v>
      </c>
      <c r="B24" s="507">
        <f>SUM(B64:D64)</f>
        <v>58</v>
      </c>
      <c r="C24" s="507">
        <f>SUM(E64:F64)</f>
        <v>48</v>
      </c>
      <c r="D24" s="507">
        <f>SUM(G64:J64)</f>
        <v>84</v>
      </c>
      <c r="E24" s="507">
        <f>SUM(K64:L64)</f>
        <v>97</v>
      </c>
      <c r="F24" s="507">
        <f>SUM(M64:N64)</f>
        <v>68</v>
      </c>
      <c r="G24" s="507">
        <f>SUM(O64:Q64)</f>
        <v>113</v>
      </c>
      <c r="H24" s="507">
        <f>R64</f>
        <v>137</v>
      </c>
      <c r="I24" s="507">
        <f>S64</f>
        <v>68</v>
      </c>
      <c r="J24" s="507">
        <f>SUM(T64:U64)</f>
        <v>59</v>
      </c>
      <c r="K24" s="508">
        <f>SUM(B24:J24)</f>
        <v>732</v>
      </c>
    </row>
    <row r="25" spans="1:13" ht="22.5" customHeight="1" x14ac:dyDescent="0.15">
      <c r="A25" s="752"/>
      <c r="B25" s="533">
        <f>B24/B$14</f>
        <v>0.35582822085889571</v>
      </c>
      <c r="C25" s="533">
        <f t="shared" ref="C25:K25" si="7">C24/C$14</f>
        <v>0.32214765100671139</v>
      </c>
      <c r="D25" s="533">
        <f t="shared" si="7"/>
        <v>0.37168141592920356</v>
      </c>
      <c r="E25" s="533">
        <f t="shared" si="7"/>
        <v>0.49489795918367346</v>
      </c>
      <c r="F25" s="533">
        <f t="shared" si="7"/>
        <v>0.43037974683544306</v>
      </c>
      <c r="G25" s="533">
        <f t="shared" si="7"/>
        <v>0.397887323943662</v>
      </c>
      <c r="H25" s="533">
        <f t="shared" si="7"/>
        <v>0.32932692307692307</v>
      </c>
      <c r="I25" s="533">
        <f t="shared" si="7"/>
        <v>0.34170854271356782</v>
      </c>
      <c r="J25" s="533">
        <f t="shared" si="7"/>
        <v>0.33146067415730335</v>
      </c>
      <c r="K25" s="533">
        <f t="shared" si="7"/>
        <v>0.37176231589639414</v>
      </c>
    </row>
    <row r="26" spans="1:13" ht="18.75" customHeight="1" x14ac:dyDescent="0.15">
      <c r="A26" s="730" t="s">
        <v>224</v>
      </c>
      <c r="B26" s="507">
        <f>SUM(B65:D65)</f>
        <v>46</v>
      </c>
      <c r="C26" s="507">
        <f>SUM(E65:F65)</f>
        <v>55</v>
      </c>
      <c r="D26" s="507">
        <f>SUM(G65:J65)</f>
        <v>56</v>
      </c>
      <c r="E26" s="507">
        <f>SUM(K65:L65)</f>
        <v>64</v>
      </c>
      <c r="F26" s="507">
        <f>SUM(M65:N65)</f>
        <v>58</v>
      </c>
      <c r="G26" s="507">
        <f>SUM(O65:Q65)</f>
        <v>66</v>
      </c>
      <c r="H26" s="507">
        <f>R65</f>
        <v>111</v>
      </c>
      <c r="I26" s="507">
        <f>S65</f>
        <v>48</v>
      </c>
      <c r="J26" s="507">
        <f>SUM(T65:U65)</f>
        <v>68</v>
      </c>
      <c r="K26" s="508">
        <f>SUM(B26:J26)</f>
        <v>572</v>
      </c>
    </row>
    <row r="27" spans="1:13" ht="18.75" customHeight="1" x14ac:dyDescent="0.15">
      <c r="A27" s="731"/>
      <c r="B27" s="533">
        <f>B26/B$14</f>
        <v>0.2822085889570552</v>
      </c>
      <c r="C27" s="533">
        <f t="shared" ref="C27:K27" si="8">C26/C$14</f>
        <v>0.36912751677852351</v>
      </c>
      <c r="D27" s="533">
        <f t="shared" si="8"/>
        <v>0.24778761061946902</v>
      </c>
      <c r="E27" s="533">
        <f t="shared" si="8"/>
        <v>0.32653061224489793</v>
      </c>
      <c r="F27" s="533">
        <f t="shared" si="8"/>
        <v>0.36708860759493672</v>
      </c>
      <c r="G27" s="533">
        <f t="shared" si="8"/>
        <v>0.23239436619718309</v>
      </c>
      <c r="H27" s="533">
        <f t="shared" si="8"/>
        <v>0.26682692307692307</v>
      </c>
      <c r="I27" s="533">
        <f t="shared" si="8"/>
        <v>0.24120603015075376</v>
      </c>
      <c r="J27" s="533">
        <f t="shared" si="8"/>
        <v>0.38202247191011235</v>
      </c>
      <c r="K27" s="533">
        <f t="shared" si="8"/>
        <v>0.29050279329608941</v>
      </c>
    </row>
    <row r="28" spans="1:13" ht="18.75" customHeight="1" x14ac:dyDescent="0.15">
      <c r="A28" s="730" t="s">
        <v>38</v>
      </c>
      <c r="B28" s="507">
        <f>SUM(B66:D66)</f>
        <v>7</v>
      </c>
      <c r="C28" s="507">
        <f>SUM(E66:F66)</f>
        <v>5</v>
      </c>
      <c r="D28" s="507">
        <f>SUM(G66:J66)</f>
        <v>5</v>
      </c>
      <c r="E28" s="507">
        <f>SUM(K66:L66)</f>
        <v>11</v>
      </c>
      <c r="F28" s="507">
        <f>SUM(M66:N66)</f>
        <v>15</v>
      </c>
      <c r="G28" s="507">
        <f>SUM(O66:Q66)</f>
        <v>23</v>
      </c>
      <c r="H28" s="507">
        <f>R66</f>
        <v>32</v>
      </c>
      <c r="I28" s="507">
        <f>S66</f>
        <v>7</v>
      </c>
      <c r="J28" s="507">
        <f>SUM(T66:U66)</f>
        <v>12</v>
      </c>
      <c r="K28" s="508">
        <f>SUM(B28:J28)</f>
        <v>117</v>
      </c>
    </row>
    <row r="29" spans="1:13" ht="18.75" customHeight="1" x14ac:dyDescent="0.15">
      <c r="A29" s="731"/>
      <c r="B29" s="533">
        <f>B28/B$14</f>
        <v>4.2944785276073622E-2</v>
      </c>
      <c r="C29" s="533">
        <f t="shared" ref="C29:K29" si="9">C28/C$14</f>
        <v>3.3557046979865772E-2</v>
      </c>
      <c r="D29" s="533">
        <f t="shared" si="9"/>
        <v>2.2123893805309734E-2</v>
      </c>
      <c r="E29" s="533">
        <f t="shared" si="9"/>
        <v>5.6122448979591837E-2</v>
      </c>
      <c r="F29" s="533">
        <f t="shared" si="9"/>
        <v>9.49367088607595E-2</v>
      </c>
      <c r="G29" s="533">
        <f t="shared" si="9"/>
        <v>8.098591549295775E-2</v>
      </c>
      <c r="H29" s="533">
        <f t="shared" si="9"/>
        <v>7.6923076923076927E-2</v>
      </c>
      <c r="I29" s="533">
        <f t="shared" si="9"/>
        <v>3.5175879396984924E-2</v>
      </c>
      <c r="J29" s="533">
        <f t="shared" si="9"/>
        <v>6.741573033707865E-2</v>
      </c>
      <c r="K29" s="533">
        <f t="shared" si="9"/>
        <v>5.9421025901472829E-2</v>
      </c>
    </row>
    <row r="30" spans="1:13" ht="18.75" customHeight="1" x14ac:dyDescent="0.15">
      <c r="A30" s="730" t="s">
        <v>39</v>
      </c>
      <c r="B30" s="507">
        <f>SUM(B67:D67)</f>
        <v>45</v>
      </c>
      <c r="C30" s="507">
        <f>SUM(E67:F67)</f>
        <v>65</v>
      </c>
      <c r="D30" s="507">
        <f>SUM(G67:J67)</f>
        <v>80</v>
      </c>
      <c r="E30" s="507">
        <f>SUM(K67:L67)</f>
        <v>74</v>
      </c>
      <c r="F30" s="507">
        <f>SUM(M67:N67)</f>
        <v>59</v>
      </c>
      <c r="G30" s="507">
        <f>SUM(O67:Q67)</f>
        <v>121</v>
      </c>
      <c r="H30" s="507">
        <f>R67</f>
        <v>125</v>
      </c>
      <c r="I30" s="507">
        <f>S67</f>
        <v>85</v>
      </c>
      <c r="J30" s="507">
        <f>SUM(T67:U67)</f>
        <v>73</v>
      </c>
      <c r="K30" s="508">
        <f>SUM(B30:J30)</f>
        <v>727</v>
      </c>
    </row>
    <row r="31" spans="1:13" ht="18.75" customHeight="1" x14ac:dyDescent="0.15">
      <c r="A31" s="731"/>
      <c r="B31" s="533">
        <f>B30/B$14</f>
        <v>0.27607361963190186</v>
      </c>
      <c r="C31" s="533">
        <f t="shared" ref="C31:K31" si="10">C30/C$14</f>
        <v>0.43624161073825501</v>
      </c>
      <c r="D31" s="533">
        <f t="shared" si="10"/>
        <v>0.35398230088495575</v>
      </c>
      <c r="E31" s="533">
        <f t="shared" si="10"/>
        <v>0.37755102040816324</v>
      </c>
      <c r="F31" s="533">
        <f t="shared" si="10"/>
        <v>0.37341772151898733</v>
      </c>
      <c r="G31" s="533">
        <f t="shared" si="10"/>
        <v>0.426056338028169</v>
      </c>
      <c r="H31" s="533">
        <f t="shared" si="10"/>
        <v>0.30048076923076922</v>
      </c>
      <c r="I31" s="533">
        <f t="shared" si="10"/>
        <v>0.42713567839195982</v>
      </c>
      <c r="J31" s="533">
        <f t="shared" si="10"/>
        <v>0.4101123595505618</v>
      </c>
      <c r="K31" s="533">
        <f t="shared" si="10"/>
        <v>0.36922295581513459</v>
      </c>
    </row>
    <row r="32" spans="1:13" ht="18.75" customHeight="1" x14ac:dyDescent="0.15">
      <c r="A32" s="730" t="s">
        <v>40</v>
      </c>
      <c r="B32" s="507">
        <f>SUM(B68:D68)</f>
        <v>69</v>
      </c>
      <c r="C32" s="507">
        <f>SUM(E68:F68)</f>
        <v>81</v>
      </c>
      <c r="D32" s="507">
        <f>SUM(G68:J68)</f>
        <v>98</v>
      </c>
      <c r="E32" s="507">
        <f>SUM(K68:L68)</f>
        <v>80</v>
      </c>
      <c r="F32" s="507">
        <f>SUM(M68:N68)</f>
        <v>86</v>
      </c>
      <c r="G32" s="507">
        <f>SUM(O68:Q68)</f>
        <v>119</v>
      </c>
      <c r="H32" s="507">
        <f>R68</f>
        <v>152</v>
      </c>
      <c r="I32" s="507">
        <f>S68</f>
        <v>75</v>
      </c>
      <c r="J32" s="507">
        <f>SUM(T68:U68)</f>
        <v>80</v>
      </c>
      <c r="K32" s="508">
        <f>SUM(B32:J32)</f>
        <v>840</v>
      </c>
    </row>
    <row r="33" spans="1:11" ht="18.75" customHeight="1" x14ac:dyDescent="0.15">
      <c r="A33" s="731"/>
      <c r="B33" s="533">
        <f>B32/B$14</f>
        <v>0.42331288343558282</v>
      </c>
      <c r="C33" s="533">
        <f t="shared" ref="C33:K33" si="11">C32/C$14</f>
        <v>0.5436241610738255</v>
      </c>
      <c r="D33" s="533">
        <f t="shared" si="11"/>
        <v>0.4336283185840708</v>
      </c>
      <c r="E33" s="533">
        <f t="shared" si="11"/>
        <v>0.40816326530612246</v>
      </c>
      <c r="F33" s="533">
        <f t="shared" si="11"/>
        <v>0.54430379746835444</v>
      </c>
      <c r="G33" s="533">
        <f t="shared" si="11"/>
        <v>0.41901408450704225</v>
      </c>
      <c r="H33" s="533">
        <f t="shared" si="11"/>
        <v>0.36538461538461536</v>
      </c>
      <c r="I33" s="533">
        <f t="shared" si="11"/>
        <v>0.37688442211055279</v>
      </c>
      <c r="J33" s="533">
        <f t="shared" si="11"/>
        <v>0.449438202247191</v>
      </c>
      <c r="K33" s="533">
        <f t="shared" si="11"/>
        <v>0.42661249365159981</v>
      </c>
    </row>
    <row r="34" spans="1:11" ht="18.75" customHeight="1" x14ac:dyDescent="0.15">
      <c r="A34" s="730" t="s">
        <v>41</v>
      </c>
      <c r="B34" s="507">
        <f>SUM(B69:D69)</f>
        <v>44</v>
      </c>
      <c r="C34" s="507">
        <f>SUM(E69:F69)</f>
        <v>52</v>
      </c>
      <c r="D34" s="507">
        <f>SUM(G69:J69)</f>
        <v>58</v>
      </c>
      <c r="E34" s="507">
        <f>SUM(K69:L69)</f>
        <v>60</v>
      </c>
      <c r="F34" s="507">
        <f>SUM(M69:N69)</f>
        <v>48</v>
      </c>
      <c r="G34" s="507">
        <f>SUM(O69:Q69)</f>
        <v>89</v>
      </c>
      <c r="H34" s="507">
        <f>R69</f>
        <v>128</v>
      </c>
      <c r="I34" s="507">
        <f>S69</f>
        <v>75</v>
      </c>
      <c r="J34" s="507">
        <f>SUM(T69:U69)</f>
        <v>48</v>
      </c>
      <c r="K34" s="508">
        <f>SUM(B34:J34)</f>
        <v>602</v>
      </c>
    </row>
    <row r="35" spans="1:11" ht="18.75" customHeight="1" x14ac:dyDescent="0.15">
      <c r="A35" s="731"/>
      <c r="B35" s="533">
        <f>B34/B$14</f>
        <v>0.26993865030674846</v>
      </c>
      <c r="C35" s="533">
        <f t="shared" ref="C35:K35" si="12">C34/C$14</f>
        <v>0.34899328859060402</v>
      </c>
      <c r="D35" s="533">
        <f t="shared" si="12"/>
        <v>0.25663716814159293</v>
      </c>
      <c r="E35" s="533">
        <f t="shared" si="12"/>
        <v>0.30612244897959184</v>
      </c>
      <c r="F35" s="533">
        <f t="shared" si="12"/>
        <v>0.30379746835443039</v>
      </c>
      <c r="G35" s="533">
        <f t="shared" si="12"/>
        <v>0.31338028169014087</v>
      </c>
      <c r="H35" s="533">
        <f t="shared" si="12"/>
        <v>0.30769230769230771</v>
      </c>
      <c r="I35" s="533">
        <f t="shared" si="12"/>
        <v>0.37688442211055279</v>
      </c>
      <c r="J35" s="533">
        <f t="shared" si="12"/>
        <v>0.2696629213483146</v>
      </c>
      <c r="K35" s="533">
        <f t="shared" si="12"/>
        <v>0.30573895378364652</v>
      </c>
    </row>
    <row r="36" spans="1:11" ht="18.75" customHeight="1" x14ac:dyDescent="0.15">
      <c r="A36" s="730" t="s">
        <v>42</v>
      </c>
      <c r="B36" s="507">
        <f>SUM(B70:D70)</f>
        <v>13</v>
      </c>
      <c r="C36" s="507">
        <f>SUM(E70:F70)</f>
        <v>17</v>
      </c>
      <c r="D36" s="507">
        <f>SUM(G70:J70)</f>
        <v>20</v>
      </c>
      <c r="E36" s="507">
        <f>SUM(K70:L70)</f>
        <v>18</v>
      </c>
      <c r="F36" s="507">
        <f>SUM(M70:N70)</f>
        <v>18</v>
      </c>
      <c r="G36" s="507">
        <f>SUM(O70:Q70)</f>
        <v>33</v>
      </c>
      <c r="H36" s="507">
        <f>R70</f>
        <v>36</v>
      </c>
      <c r="I36" s="507">
        <f>S70</f>
        <v>15</v>
      </c>
      <c r="J36" s="507">
        <f>SUM(T70:U70)</f>
        <v>13</v>
      </c>
      <c r="K36" s="508">
        <f>SUM(B36:J36)</f>
        <v>183</v>
      </c>
    </row>
    <row r="37" spans="1:11" ht="18.75" customHeight="1" x14ac:dyDescent="0.15">
      <c r="A37" s="731"/>
      <c r="B37" s="533">
        <f>B36/B$14</f>
        <v>7.9754601226993863E-2</v>
      </c>
      <c r="C37" s="533">
        <f t="shared" ref="C37:K37" si="13">C36/C$14</f>
        <v>0.11409395973154363</v>
      </c>
      <c r="D37" s="533">
        <f t="shared" si="13"/>
        <v>8.8495575221238937E-2</v>
      </c>
      <c r="E37" s="533">
        <f t="shared" si="13"/>
        <v>9.1836734693877556E-2</v>
      </c>
      <c r="F37" s="533">
        <f t="shared" si="13"/>
        <v>0.11392405063291139</v>
      </c>
      <c r="G37" s="533">
        <f t="shared" si="13"/>
        <v>0.11619718309859155</v>
      </c>
      <c r="H37" s="533">
        <f t="shared" si="13"/>
        <v>8.6538461538461536E-2</v>
      </c>
      <c r="I37" s="533">
        <f t="shared" si="13"/>
        <v>7.5376884422110546E-2</v>
      </c>
      <c r="J37" s="533">
        <f t="shared" si="13"/>
        <v>7.3033707865168537E-2</v>
      </c>
      <c r="K37" s="533">
        <f t="shared" si="13"/>
        <v>9.2940578974098534E-2</v>
      </c>
    </row>
    <row r="38" spans="1:11" ht="18.75" customHeight="1" x14ac:dyDescent="0.15">
      <c r="A38" s="749" t="s">
        <v>43</v>
      </c>
      <c r="B38" s="507">
        <f>SUM(B71:D71)</f>
        <v>49</v>
      </c>
      <c r="C38" s="507">
        <f>SUM(E71:F71)</f>
        <v>72</v>
      </c>
      <c r="D38" s="507">
        <f>SUM(G71:J71)</f>
        <v>93</v>
      </c>
      <c r="E38" s="507">
        <f>SUM(K71:L71)</f>
        <v>65</v>
      </c>
      <c r="F38" s="507">
        <f>SUM(M71:N71)</f>
        <v>48</v>
      </c>
      <c r="G38" s="507">
        <f>SUM(O71:Q71)</f>
        <v>68</v>
      </c>
      <c r="H38" s="507">
        <f>R71</f>
        <v>110</v>
      </c>
      <c r="I38" s="507">
        <f>S71</f>
        <v>49</v>
      </c>
      <c r="J38" s="507">
        <f>SUM(T71:U71)</f>
        <v>59</v>
      </c>
      <c r="K38" s="508">
        <f>SUM(B38:J38)</f>
        <v>613</v>
      </c>
    </row>
    <row r="39" spans="1:11" ht="18.75" customHeight="1" x14ac:dyDescent="0.15">
      <c r="A39" s="750"/>
      <c r="B39" s="533">
        <f>B38/B$14</f>
        <v>0.30061349693251532</v>
      </c>
      <c r="C39" s="533">
        <f t="shared" ref="C39:K39" si="14">C38/C$14</f>
        <v>0.48322147651006714</v>
      </c>
      <c r="D39" s="533">
        <f t="shared" si="14"/>
        <v>0.41150442477876104</v>
      </c>
      <c r="E39" s="533">
        <f t="shared" si="14"/>
        <v>0.33163265306122447</v>
      </c>
      <c r="F39" s="533">
        <f t="shared" si="14"/>
        <v>0.30379746835443039</v>
      </c>
      <c r="G39" s="533">
        <f t="shared" si="14"/>
        <v>0.23943661971830985</v>
      </c>
      <c r="H39" s="533">
        <f t="shared" si="14"/>
        <v>0.26442307692307693</v>
      </c>
      <c r="I39" s="533">
        <f t="shared" si="14"/>
        <v>0.24623115577889448</v>
      </c>
      <c r="J39" s="533">
        <f t="shared" si="14"/>
        <v>0.33146067415730335</v>
      </c>
      <c r="K39" s="533">
        <f t="shared" si="14"/>
        <v>0.31132554596241746</v>
      </c>
    </row>
    <row r="40" spans="1:11" ht="18.75" customHeight="1" x14ac:dyDescent="0.15">
      <c r="A40" s="749" t="s">
        <v>44</v>
      </c>
      <c r="B40" s="507">
        <f>SUM(B72:D72)</f>
        <v>36</v>
      </c>
      <c r="C40" s="507">
        <f>SUM(E72:F72)</f>
        <v>34</v>
      </c>
      <c r="D40" s="507">
        <f>SUM(G72:J72)</f>
        <v>49</v>
      </c>
      <c r="E40" s="507">
        <f>SUM(K72:L72)</f>
        <v>29</v>
      </c>
      <c r="F40" s="507">
        <f>SUM(M72:N72)</f>
        <v>16</v>
      </c>
      <c r="G40" s="507">
        <f>SUM(O72:Q72)</f>
        <v>68</v>
      </c>
      <c r="H40" s="507">
        <f>R72</f>
        <v>62</v>
      </c>
      <c r="I40" s="507">
        <f>S72</f>
        <v>28</v>
      </c>
      <c r="J40" s="507">
        <f>SUM(T72:U72)</f>
        <v>45</v>
      </c>
      <c r="K40" s="508">
        <f>SUM(B40:J40)</f>
        <v>367</v>
      </c>
    </row>
    <row r="41" spans="1:11" ht="18.75" customHeight="1" x14ac:dyDescent="0.15">
      <c r="A41" s="750"/>
      <c r="B41" s="533">
        <f>B40/B$14</f>
        <v>0.22085889570552147</v>
      </c>
      <c r="C41" s="533">
        <f t="shared" ref="C41:K41" si="15">C40/C$14</f>
        <v>0.22818791946308725</v>
      </c>
      <c r="D41" s="533">
        <f t="shared" si="15"/>
        <v>0.2168141592920354</v>
      </c>
      <c r="E41" s="533">
        <f t="shared" si="15"/>
        <v>0.14795918367346939</v>
      </c>
      <c r="F41" s="533">
        <f t="shared" si="15"/>
        <v>0.10126582278481013</v>
      </c>
      <c r="G41" s="533">
        <f t="shared" si="15"/>
        <v>0.23943661971830985</v>
      </c>
      <c r="H41" s="533">
        <f t="shared" si="15"/>
        <v>0.14903846153846154</v>
      </c>
      <c r="I41" s="533">
        <f t="shared" si="15"/>
        <v>0.1407035175879397</v>
      </c>
      <c r="J41" s="533">
        <f t="shared" si="15"/>
        <v>0.25280898876404495</v>
      </c>
      <c r="K41" s="533">
        <f t="shared" si="15"/>
        <v>0.18638902996444895</v>
      </c>
    </row>
    <row r="42" spans="1:11" ht="18.75" customHeight="1" x14ac:dyDescent="0.15">
      <c r="A42" s="730" t="s">
        <v>356</v>
      </c>
      <c r="B42" s="507">
        <f>SUM(B73:D73)</f>
        <v>44</v>
      </c>
      <c r="C42" s="507">
        <f>SUM(E73:F73)</f>
        <v>27</v>
      </c>
      <c r="D42" s="507">
        <f>SUM(G73:J73)</f>
        <v>64</v>
      </c>
      <c r="E42" s="507">
        <f>SUM(K73:L73)</f>
        <v>42</v>
      </c>
      <c r="F42" s="507">
        <f>SUM(M73:N73)</f>
        <v>34</v>
      </c>
      <c r="G42" s="507">
        <f>SUM(O73:Q73)</f>
        <v>55</v>
      </c>
      <c r="H42" s="507">
        <f>R73</f>
        <v>89</v>
      </c>
      <c r="I42" s="507">
        <f>S73</f>
        <v>38</v>
      </c>
      <c r="J42" s="507">
        <f>SUM(T73:U73)</f>
        <v>52</v>
      </c>
      <c r="K42" s="508">
        <f>SUM(B42:J42)</f>
        <v>445</v>
      </c>
    </row>
    <row r="43" spans="1:11" ht="18.75" customHeight="1" x14ac:dyDescent="0.15">
      <c r="A43" s="731"/>
      <c r="B43" s="533">
        <f>B42/B$14</f>
        <v>0.26993865030674846</v>
      </c>
      <c r="C43" s="533">
        <f t="shared" ref="C43:K43" si="16">C42/C$14</f>
        <v>0.18120805369127516</v>
      </c>
      <c r="D43" s="533">
        <f t="shared" si="16"/>
        <v>0.2831858407079646</v>
      </c>
      <c r="E43" s="533">
        <f t="shared" si="16"/>
        <v>0.21428571428571427</v>
      </c>
      <c r="F43" s="533">
        <f t="shared" si="16"/>
        <v>0.21518987341772153</v>
      </c>
      <c r="G43" s="533">
        <f t="shared" si="16"/>
        <v>0.19366197183098591</v>
      </c>
      <c r="H43" s="533">
        <f t="shared" si="16"/>
        <v>0.21394230769230768</v>
      </c>
      <c r="I43" s="533">
        <f t="shared" si="16"/>
        <v>0.19095477386934673</v>
      </c>
      <c r="J43" s="533">
        <f t="shared" si="16"/>
        <v>0.29213483146067415</v>
      </c>
      <c r="K43" s="533">
        <f t="shared" si="16"/>
        <v>0.22600304723209752</v>
      </c>
    </row>
    <row r="44" spans="1:11" ht="18.75" customHeight="1" x14ac:dyDescent="0.15">
      <c r="A44" s="730" t="s">
        <v>46</v>
      </c>
      <c r="B44" s="507">
        <f>SUM(B74:D74)</f>
        <v>58</v>
      </c>
      <c r="C44" s="507">
        <f>SUM(E74:F74)</f>
        <v>79</v>
      </c>
      <c r="D44" s="507">
        <f>SUM(G74:J74)</f>
        <v>111</v>
      </c>
      <c r="E44" s="507">
        <f>SUM(K74:L74)</f>
        <v>56</v>
      </c>
      <c r="F44" s="507">
        <f>SUM(M74:N74)</f>
        <v>47</v>
      </c>
      <c r="G44" s="507">
        <f>SUM(O74:Q74)</f>
        <v>84</v>
      </c>
      <c r="H44" s="507">
        <f>R74</f>
        <v>148</v>
      </c>
      <c r="I44" s="507">
        <f>S74</f>
        <v>66</v>
      </c>
      <c r="J44" s="507">
        <f>SUM(T74:U74)</f>
        <v>60</v>
      </c>
      <c r="K44" s="508">
        <f>SUM(B44:J44)</f>
        <v>709</v>
      </c>
    </row>
    <row r="45" spans="1:11" ht="18.75" customHeight="1" x14ac:dyDescent="0.15">
      <c r="A45" s="731"/>
      <c r="B45" s="533">
        <f>B44/B$14</f>
        <v>0.35582822085889571</v>
      </c>
      <c r="C45" s="533">
        <f t="shared" ref="C45:K45" si="17">C44/C$14</f>
        <v>0.53020134228187921</v>
      </c>
      <c r="D45" s="533">
        <f t="shared" si="17"/>
        <v>0.49115044247787609</v>
      </c>
      <c r="E45" s="533">
        <f t="shared" si="17"/>
        <v>0.2857142857142857</v>
      </c>
      <c r="F45" s="533">
        <f t="shared" si="17"/>
        <v>0.29746835443037972</v>
      </c>
      <c r="G45" s="533">
        <f t="shared" si="17"/>
        <v>0.29577464788732394</v>
      </c>
      <c r="H45" s="533">
        <f t="shared" si="17"/>
        <v>0.35576923076923078</v>
      </c>
      <c r="I45" s="533">
        <f t="shared" si="17"/>
        <v>0.33165829145728642</v>
      </c>
      <c r="J45" s="533">
        <f t="shared" si="17"/>
        <v>0.33707865168539325</v>
      </c>
      <c r="K45" s="533">
        <f t="shared" si="17"/>
        <v>0.36008125952260028</v>
      </c>
    </row>
    <row r="46" spans="1:11" ht="18.75" customHeight="1" x14ac:dyDescent="0.15">
      <c r="A46" s="730" t="s">
        <v>47</v>
      </c>
      <c r="B46" s="507">
        <f>SUM(B75:D75)</f>
        <v>6</v>
      </c>
      <c r="C46" s="507">
        <f>SUM(E75:F75)</f>
        <v>5</v>
      </c>
      <c r="D46" s="507">
        <f>SUM(G75:J75)</f>
        <v>17</v>
      </c>
      <c r="E46" s="507">
        <f>SUM(K75:L75)</f>
        <v>9</v>
      </c>
      <c r="F46" s="507">
        <f>SUM(M75:N75)</f>
        <v>16</v>
      </c>
      <c r="G46" s="507">
        <f>SUM(O75:Q75)</f>
        <v>27</v>
      </c>
      <c r="H46" s="507">
        <f>R75</f>
        <v>17</v>
      </c>
      <c r="I46" s="507">
        <f>S75</f>
        <v>11</v>
      </c>
      <c r="J46" s="507">
        <f>SUM(T75:U75)</f>
        <v>13</v>
      </c>
      <c r="K46" s="508">
        <f>SUM(B46:J46)</f>
        <v>121</v>
      </c>
    </row>
    <row r="47" spans="1:11" ht="18.75" customHeight="1" x14ac:dyDescent="0.15">
      <c r="A47" s="731"/>
      <c r="B47" s="533">
        <f>B46/B$14</f>
        <v>3.6809815950920248E-2</v>
      </c>
      <c r="C47" s="533">
        <f t="shared" ref="C47:K47" si="18">C46/C$14</f>
        <v>3.3557046979865772E-2</v>
      </c>
      <c r="D47" s="533">
        <f t="shared" si="18"/>
        <v>7.5221238938053103E-2</v>
      </c>
      <c r="E47" s="533">
        <f t="shared" si="18"/>
        <v>4.5918367346938778E-2</v>
      </c>
      <c r="F47" s="533">
        <f t="shared" si="18"/>
        <v>0.10126582278481013</v>
      </c>
      <c r="G47" s="533">
        <f t="shared" si="18"/>
        <v>9.5070422535211266E-2</v>
      </c>
      <c r="H47" s="533">
        <f t="shared" si="18"/>
        <v>4.0865384615384616E-2</v>
      </c>
      <c r="I47" s="533">
        <f t="shared" si="18"/>
        <v>5.5276381909547742E-2</v>
      </c>
      <c r="J47" s="533">
        <f t="shared" si="18"/>
        <v>7.3033707865168537E-2</v>
      </c>
      <c r="K47" s="533">
        <f t="shared" si="18"/>
        <v>6.1452513966480445E-2</v>
      </c>
    </row>
    <row r="48" spans="1:11" ht="18.75" customHeight="1" x14ac:dyDescent="0.15">
      <c r="A48" s="730" t="s">
        <v>48</v>
      </c>
      <c r="B48" s="507">
        <f>SUM(B76:D76)</f>
        <v>18</v>
      </c>
      <c r="C48" s="507">
        <f>SUM(E76:F76)</f>
        <v>7</v>
      </c>
      <c r="D48" s="507">
        <f>SUM(G76:J76)</f>
        <v>5</v>
      </c>
      <c r="E48" s="507">
        <f>SUM(K76:L76)</f>
        <v>14</v>
      </c>
      <c r="F48" s="507">
        <f>SUM(M76:N76)</f>
        <v>17</v>
      </c>
      <c r="G48" s="507">
        <f>SUM(O76:Q76)</f>
        <v>15</v>
      </c>
      <c r="H48" s="507">
        <f>R76</f>
        <v>32</v>
      </c>
      <c r="I48" s="507">
        <f>S76</f>
        <v>1</v>
      </c>
      <c r="J48" s="507">
        <f>SUM(T76:U76)</f>
        <v>10</v>
      </c>
      <c r="K48" s="508">
        <f>SUM(B48:J48)</f>
        <v>119</v>
      </c>
    </row>
    <row r="49" spans="1:21" ht="18.75" customHeight="1" x14ac:dyDescent="0.15">
      <c r="A49" s="731"/>
      <c r="B49" s="533">
        <f>B48/B$14</f>
        <v>0.11042944785276074</v>
      </c>
      <c r="C49" s="533">
        <f t="shared" ref="C49:K49" si="19">C48/C$14</f>
        <v>4.6979865771812082E-2</v>
      </c>
      <c r="D49" s="533">
        <f t="shared" si="19"/>
        <v>2.2123893805309734E-2</v>
      </c>
      <c r="E49" s="533">
        <f t="shared" si="19"/>
        <v>7.1428571428571425E-2</v>
      </c>
      <c r="F49" s="533">
        <f t="shared" si="19"/>
        <v>0.10759493670886076</v>
      </c>
      <c r="G49" s="533">
        <f t="shared" si="19"/>
        <v>5.2816901408450703E-2</v>
      </c>
      <c r="H49" s="533">
        <f t="shared" si="19"/>
        <v>7.6923076923076927E-2</v>
      </c>
      <c r="I49" s="533">
        <f t="shared" si="19"/>
        <v>5.0251256281407036E-3</v>
      </c>
      <c r="J49" s="533">
        <f t="shared" si="19"/>
        <v>5.6179775280898875E-2</v>
      </c>
      <c r="K49" s="533">
        <f t="shared" si="19"/>
        <v>6.043676993397664E-2</v>
      </c>
    </row>
    <row r="50" spans="1:21" ht="18.75" customHeight="1" x14ac:dyDescent="0.15">
      <c r="A50" s="748" t="s">
        <v>49</v>
      </c>
      <c r="B50" s="507">
        <f>SUM(B77:D77)</f>
        <v>0</v>
      </c>
      <c r="C50" s="507">
        <f>SUM(E77:F77)</f>
        <v>1</v>
      </c>
      <c r="D50" s="507">
        <f>SUM(G77:J77)</f>
        <v>0</v>
      </c>
      <c r="E50" s="507">
        <f>SUM(K77:L77)</f>
        <v>0</v>
      </c>
      <c r="F50" s="507">
        <f>SUM(M77:N77)</f>
        <v>6</v>
      </c>
      <c r="G50" s="507">
        <f>SUM(O77:Q77)</f>
        <v>0</v>
      </c>
      <c r="H50" s="507">
        <f>R77</f>
        <v>4</v>
      </c>
      <c r="I50" s="507">
        <f>S77</f>
        <v>0</v>
      </c>
      <c r="J50" s="507">
        <f>SUM(T77:U77)</f>
        <v>0</v>
      </c>
      <c r="K50" s="508">
        <f>SUM(B50:J50)</f>
        <v>11</v>
      </c>
    </row>
    <row r="51" spans="1:21" ht="18.75" customHeight="1" x14ac:dyDescent="0.15">
      <c r="A51" s="731"/>
      <c r="B51" s="533">
        <f>B50/B$14</f>
        <v>0</v>
      </c>
      <c r="C51" s="533">
        <f t="shared" ref="C51:K51" si="20">C50/C$14</f>
        <v>6.7114093959731542E-3</v>
      </c>
      <c r="D51" s="533">
        <f t="shared" si="20"/>
        <v>0</v>
      </c>
      <c r="E51" s="533">
        <f t="shared" si="20"/>
        <v>0</v>
      </c>
      <c r="F51" s="533">
        <f t="shared" si="20"/>
        <v>3.7974683544303799E-2</v>
      </c>
      <c r="G51" s="533">
        <f t="shared" si="20"/>
        <v>0</v>
      </c>
      <c r="H51" s="533">
        <f t="shared" si="20"/>
        <v>9.6153846153846159E-3</v>
      </c>
      <c r="I51" s="533">
        <f t="shared" si="20"/>
        <v>0</v>
      </c>
      <c r="J51" s="533">
        <f t="shared" si="20"/>
        <v>0</v>
      </c>
      <c r="K51" s="533">
        <f t="shared" si="20"/>
        <v>5.5865921787709499E-3</v>
      </c>
    </row>
    <row r="52" spans="1:21" ht="18.75" customHeight="1" x14ac:dyDescent="0.15">
      <c r="A52" s="749" t="s">
        <v>50</v>
      </c>
      <c r="B52" s="507">
        <f>SUM(B78:D78)</f>
        <v>19</v>
      </c>
      <c r="C52" s="507">
        <f>SUM(E78:F78)</f>
        <v>11</v>
      </c>
      <c r="D52" s="507">
        <f>SUM(G78:J78)</f>
        <v>14</v>
      </c>
      <c r="E52" s="507">
        <f>SUM(K78:L78)</f>
        <v>25</v>
      </c>
      <c r="F52" s="507">
        <f>SUM(M78:N78)</f>
        <v>8</v>
      </c>
      <c r="G52" s="507">
        <f>SUM(O78:Q78)</f>
        <v>15</v>
      </c>
      <c r="H52" s="507">
        <f>R78</f>
        <v>38</v>
      </c>
      <c r="I52" s="507">
        <f>S78</f>
        <v>14</v>
      </c>
      <c r="J52" s="507">
        <f>SUM(T78:U78)</f>
        <v>21</v>
      </c>
      <c r="K52" s="508">
        <f>SUM(B52:J52)</f>
        <v>165</v>
      </c>
    </row>
    <row r="53" spans="1:21" ht="18.75" customHeight="1" x14ac:dyDescent="0.15">
      <c r="A53" s="750"/>
      <c r="B53" s="533">
        <f>B52/B$14</f>
        <v>0.1165644171779141</v>
      </c>
      <c r="C53" s="533">
        <f t="shared" ref="C53:K53" si="21">C52/C$14</f>
        <v>7.3825503355704702E-2</v>
      </c>
      <c r="D53" s="533">
        <f t="shared" si="21"/>
        <v>6.1946902654867256E-2</v>
      </c>
      <c r="E53" s="533">
        <f t="shared" si="21"/>
        <v>0.12755102040816327</v>
      </c>
      <c r="F53" s="533">
        <f t="shared" si="21"/>
        <v>5.0632911392405063E-2</v>
      </c>
      <c r="G53" s="533">
        <f t="shared" si="21"/>
        <v>5.2816901408450703E-2</v>
      </c>
      <c r="H53" s="533">
        <f t="shared" si="21"/>
        <v>9.1346153846153841E-2</v>
      </c>
      <c r="I53" s="533">
        <f t="shared" si="21"/>
        <v>7.0351758793969849E-2</v>
      </c>
      <c r="J53" s="533">
        <f t="shared" si="21"/>
        <v>0.11797752808988764</v>
      </c>
      <c r="K53" s="533">
        <f t="shared" si="21"/>
        <v>8.3798882681564241E-2</v>
      </c>
    </row>
    <row r="54" spans="1:21" ht="18.75" customHeight="1" x14ac:dyDescent="0.15">
      <c r="A54" s="749" t="s">
        <v>51</v>
      </c>
      <c r="B54" s="507">
        <f>SUM(B79:D79)</f>
        <v>17</v>
      </c>
      <c r="C54" s="507">
        <f>SUM(E79:F79)</f>
        <v>14</v>
      </c>
      <c r="D54" s="507">
        <f>SUM(G79:J79)</f>
        <v>15</v>
      </c>
      <c r="E54" s="507">
        <f>SUM(K79:L79)</f>
        <v>18</v>
      </c>
      <c r="F54" s="507">
        <f>SUM(M79:N79)</f>
        <v>12</v>
      </c>
      <c r="G54" s="507">
        <f>SUM(O79:Q79)</f>
        <v>31</v>
      </c>
      <c r="H54" s="507">
        <f>R79</f>
        <v>45</v>
      </c>
      <c r="I54" s="507">
        <f>S79</f>
        <v>9</v>
      </c>
      <c r="J54" s="507">
        <f>SUM(T79:U79)</f>
        <v>21</v>
      </c>
      <c r="K54" s="508">
        <f>SUM(B54:J54)</f>
        <v>182</v>
      </c>
    </row>
    <row r="55" spans="1:21" ht="18.75" customHeight="1" x14ac:dyDescent="0.15">
      <c r="A55" s="750"/>
      <c r="B55" s="533">
        <f>B54/B$14</f>
        <v>0.10429447852760736</v>
      </c>
      <c r="C55" s="533">
        <f t="shared" ref="C55:K55" si="22">C54/C$14</f>
        <v>9.3959731543624164E-2</v>
      </c>
      <c r="D55" s="533">
        <f t="shared" si="22"/>
        <v>6.637168141592921E-2</v>
      </c>
      <c r="E55" s="533">
        <f t="shared" si="22"/>
        <v>9.1836734693877556E-2</v>
      </c>
      <c r="F55" s="533">
        <f t="shared" si="22"/>
        <v>7.5949367088607597E-2</v>
      </c>
      <c r="G55" s="533">
        <f t="shared" si="22"/>
        <v>0.10915492957746478</v>
      </c>
      <c r="H55" s="533">
        <f t="shared" si="22"/>
        <v>0.10817307692307693</v>
      </c>
      <c r="I55" s="533">
        <f t="shared" si="22"/>
        <v>4.5226130653266333E-2</v>
      </c>
      <c r="J55" s="533">
        <f t="shared" si="22"/>
        <v>0.11797752808988764</v>
      </c>
      <c r="K55" s="533">
        <f t="shared" si="22"/>
        <v>9.2432706957846625E-2</v>
      </c>
    </row>
    <row r="56" spans="1:21" ht="18.75" customHeight="1" x14ac:dyDescent="0.15">
      <c r="A56" s="749" t="s">
        <v>337</v>
      </c>
      <c r="B56" s="507">
        <f>SUM(B80:D80)</f>
        <v>0</v>
      </c>
      <c r="C56" s="507">
        <f>SUM(E80:F80)</f>
        <v>1</v>
      </c>
      <c r="D56" s="507">
        <f>SUM(G80:J80)</f>
        <v>1</v>
      </c>
      <c r="E56" s="507">
        <f>SUM(K80:L80)</f>
        <v>1</v>
      </c>
      <c r="F56" s="507">
        <f>SUM(M80:N80)</f>
        <v>0</v>
      </c>
      <c r="G56" s="507">
        <f>SUM(O80:Q80)</f>
        <v>4</v>
      </c>
      <c r="H56" s="507">
        <f>R80</f>
        <v>11</v>
      </c>
      <c r="I56" s="507">
        <f>S80</f>
        <v>1</v>
      </c>
      <c r="J56" s="507">
        <f>SUM(T80:U80)</f>
        <v>15</v>
      </c>
      <c r="K56" s="508">
        <f>SUM(B56:J56)</f>
        <v>34</v>
      </c>
    </row>
    <row r="57" spans="1:21" ht="18.75" customHeight="1" x14ac:dyDescent="0.15">
      <c r="A57" s="750"/>
      <c r="B57" s="533">
        <f>B56/B$14</f>
        <v>0</v>
      </c>
      <c r="C57" s="533">
        <f t="shared" ref="C57:K57" si="23">C56/C$14</f>
        <v>6.7114093959731542E-3</v>
      </c>
      <c r="D57" s="533">
        <f t="shared" si="23"/>
        <v>4.4247787610619468E-3</v>
      </c>
      <c r="E57" s="533">
        <f t="shared" si="23"/>
        <v>5.1020408163265302E-3</v>
      </c>
      <c r="F57" s="533">
        <f t="shared" si="23"/>
        <v>0</v>
      </c>
      <c r="G57" s="533">
        <f t="shared" si="23"/>
        <v>1.4084507042253521E-2</v>
      </c>
      <c r="H57" s="533">
        <f t="shared" si="23"/>
        <v>2.6442307692307692E-2</v>
      </c>
      <c r="I57" s="533">
        <f t="shared" si="23"/>
        <v>5.0251256281407036E-3</v>
      </c>
      <c r="J57" s="533">
        <f t="shared" si="23"/>
        <v>8.4269662921348312E-2</v>
      </c>
      <c r="K57" s="533">
        <f t="shared" si="23"/>
        <v>1.7267648552564754E-2</v>
      </c>
    </row>
    <row r="58" spans="1:21" ht="18.75" customHeight="1" x14ac:dyDescent="0.15">
      <c r="A58" s="730" t="s">
        <v>53</v>
      </c>
      <c r="B58" s="507">
        <f>SUM(B81:D81)</f>
        <v>11</v>
      </c>
      <c r="C58" s="507">
        <f>SUM(E81:F81)</f>
        <v>8</v>
      </c>
      <c r="D58" s="507">
        <f>SUM(G81:J81)</f>
        <v>28</v>
      </c>
      <c r="E58" s="507">
        <f>SUM(K81:L81)</f>
        <v>20</v>
      </c>
      <c r="F58" s="507">
        <f>SUM(M81:N81)</f>
        <v>7</v>
      </c>
      <c r="G58" s="507">
        <f>SUM(O81:Q81)</f>
        <v>1</v>
      </c>
      <c r="H58" s="507">
        <f>R81</f>
        <v>23</v>
      </c>
      <c r="I58" s="507">
        <f>S81</f>
        <v>8</v>
      </c>
      <c r="J58" s="507">
        <f>SUM(T81:U81)</f>
        <v>5</v>
      </c>
      <c r="K58" s="508">
        <f>SUM(B58:J58)</f>
        <v>111</v>
      </c>
    </row>
    <row r="59" spans="1:21" ht="18.75" customHeight="1" x14ac:dyDescent="0.15">
      <c r="A59" s="731"/>
      <c r="B59" s="533">
        <f>B58/B$14</f>
        <v>6.7484662576687116E-2</v>
      </c>
      <c r="C59" s="533">
        <f t="shared" ref="C59:K59" si="24">C58/C$14</f>
        <v>5.3691275167785234E-2</v>
      </c>
      <c r="D59" s="533">
        <f t="shared" si="24"/>
        <v>0.12389380530973451</v>
      </c>
      <c r="E59" s="533">
        <f t="shared" si="24"/>
        <v>0.10204081632653061</v>
      </c>
      <c r="F59" s="533">
        <f t="shared" si="24"/>
        <v>4.4303797468354431E-2</v>
      </c>
      <c r="G59" s="533">
        <f t="shared" si="24"/>
        <v>3.5211267605633804E-3</v>
      </c>
      <c r="H59" s="533">
        <f t="shared" si="24"/>
        <v>5.5288461538461536E-2</v>
      </c>
      <c r="I59" s="533">
        <f t="shared" si="24"/>
        <v>4.0201005025125629E-2</v>
      </c>
      <c r="J59" s="533">
        <f t="shared" si="24"/>
        <v>2.8089887640449437E-2</v>
      </c>
      <c r="K59" s="533">
        <f t="shared" si="24"/>
        <v>5.6373793803961403E-2</v>
      </c>
    </row>
    <row r="61" spans="1:21" x14ac:dyDescent="0.15">
      <c r="A61" s="377"/>
      <c r="B61" s="377"/>
      <c r="C61" s="377"/>
      <c r="D61" s="377"/>
      <c r="E61" s="377"/>
      <c r="F61" s="377"/>
      <c r="G61" s="377"/>
      <c r="H61" s="377"/>
      <c r="I61" s="377"/>
    </row>
    <row r="62" spans="1:21" x14ac:dyDescent="0.15">
      <c r="A62" s="54"/>
    </row>
    <row r="63" spans="1:21" x14ac:dyDescent="0.15">
      <c r="A63" s="377" t="s">
        <v>585</v>
      </c>
      <c r="B63" s="538" t="s">
        <v>384</v>
      </c>
      <c r="C63" s="538" t="s">
        <v>385</v>
      </c>
      <c r="D63" s="538" t="s">
        <v>386</v>
      </c>
      <c r="E63" s="538" t="s">
        <v>387</v>
      </c>
      <c r="F63" s="538" t="s">
        <v>388</v>
      </c>
      <c r="G63" s="538" t="s">
        <v>389</v>
      </c>
      <c r="H63" s="538" t="s">
        <v>390</v>
      </c>
      <c r="I63" s="538" t="s">
        <v>391</v>
      </c>
      <c r="J63" s="538" t="s">
        <v>392</v>
      </c>
      <c r="K63" s="538" t="s">
        <v>393</v>
      </c>
      <c r="L63" s="538" t="s">
        <v>394</v>
      </c>
      <c r="M63" s="538" t="s">
        <v>395</v>
      </c>
      <c r="N63" s="538" t="s">
        <v>396</v>
      </c>
      <c r="O63" s="538" t="s">
        <v>397</v>
      </c>
      <c r="P63" s="538" t="s">
        <v>398</v>
      </c>
      <c r="Q63" s="538" t="s">
        <v>399</v>
      </c>
      <c r="R63" s="538" t="s">
        <v>400</v>
      </c>
      <c r="S63" s="538" t="s">
        <v>401</v>
      </c>
      <c r="T63" s="538" t="s">
        <v>464</v>
      </c>
      <c r="U63" s="55" t="s">
        <v>591</v>
      </c>
    </row>
    <row r="64" spans="1:21" x14ac:dyDescent="0.15">
      <c r="A64" s="54" t="s">
        <v>309</v>
      </c>
      <c r="B64" s="23">
        <v>31</v>
      </c>
      <c r="C64" s="23">
        <v>14</v>
      </c>
      <c r="D64" s="23">
        <v>13</v>
      </c>
      <c r="E64" s="23">
        <v>26</v>
      </c>
      <c r="F64" s="23">
        <v>22</v>
      </c>
      <c r="G64" s="23">
        <v>30</v>
      </c>
      <c r="H64" s="23">
        <v>19</v>
      </c>
      <c r="I64" s="23">
        <v>18</v>
      </c>
      <c r="J64" s="23">
        <v>17</v>
      </c>
      <c r="K64" s="23">
        <v>61</v>
      </c>
      <c r="L64" s="23">
        <v>36</v>
      </c>
      <c r="M64" s="23">
        <v>39</v>
      </c>
      <c r="N64" s="23">
        <v>29</v>
      </c>
      <c r="O64" s="23">
        <v>47</v>
      </c>
      <c r="P64" s="23">
        <v>29</v>
      </c>
      <c r="Q64" s="23">
        <v>37</v>
      </c>
      <c r="R64" s="23">
        <v>137</v>
      </c>
      <c r="S64" s="23">
        <v>68</v>
      </c>
      <c r="T64" s="23">
        <v>51</v>
      </c>
      <c r="U64" s="23">
        <v>8</v>
      </c>
    </row>
    <row r="65" spans="1:21" x14ac:dyDescent="0.15">
      <c r="A65" s="54" t="s">
        <v>310</v>
      </c>
      <c r="B65" s="23">
        <v>21</v>
      </c>
      <c r="C65" s="23">
        <v>16</v>
      </c>
      <c r="D65" s="23">
        <v>9</v>
      </c>
      <c r="E65" s="23">
        <v>21</v>
      </c>
      <c r="F65" s="23">
        <v>34</v>
      </c>
      <c r="G65" s="23">
        <v>17</v>
      </c>
      <c r="H65" s="23">
        <v>16</v>
      </c>
      <c r="I65" s="23">
        <v>9</v>
      </c>
      <c r="J65" s="23">
        <v>14</v>
      </c>
      <c r="K65" s="23">
        <v>44</v>
      </c>
      <c r="L65" s="23">
        <v>20</v>
      </c>
      <c r="M65" s="23">
        <v>34</v>
      </c>
      <c r="N65" s="23">
        <v>24</v>
      </c>
      <c r="O65" s="23">
        <v>28</v>
      </c>
      <c r="P65" s="23">
        <v>22</v>
      </c>
      <c r="Q65" s="23">
        <v>16</v>
      </c>
      <c r="R65" s="23">
        <v>111</v>
      </c>
      <c r="S65" s="23">
        <v>48</v>
      </c>
      <c r="T65" s="23">
        <v>59</v>
      </c>
      <c r="U65" s="23">
        <v>9</v>
      </c>
    </row>
    <row r="66" spans="1:21" x14ac:dyDescent="0.15">
      <c r="A66" s="54" t="s">
        <v>166</v>
      </c>
      <c r="B66" s="23">
        <v>2</v>
      </c>
      <c r="C66" s="23">
        <v>3</v>
      </c>
      <c r="D66" s="23">
        <v>2</v>
      </c>
      <c r="E66" s="23">
        <v>4</v>
      </c>
      <c r="F66" s="23">
        <v>1</v>
      </c>
      <c r="G66" s="23">
        <v>1</v>
      </c>
      <c r="H66" s="23">
        <v>0</v>
      </c>
      <c r="I66" s="23">
        <v>1</v>
      </c>
      <c r="J66" s="23">
        <v>3</v>
      </c>
      <c r="K66" s="23">
        <v>9</v>
      </c>
      <c r="L66" s="23">
        <v>2</v>
      </c>
      <c r="M66" s="23">
        <v>10</v>
      </c>
      <c r="N66" s="23">
        <v>5</v>
      </c>
      <c r="O66" s="23">
        <v>10</v>
      </c>
      <c r="P66" s="23">
        <v>8</v>
      </c>
      <c r="Q66" s="23">
        <v>5</v>
      </c>
      <c r="R66" s="23">
        <v>32</v>
      </c>
      <c r="S66" s="23">
        <v>7</v>
      </c>
      <c r="T66" s="23">
        <v>8</v>
      </c>
      <c r="U66" s="23">
        <v>4</v>
      </c>
    </row>
    <row r="67" spans="1:21" x14ac:dyDescent="0.15">
      <c r="A67" s="54" t="s">
        <v>167</v>
      </c>
      <c r="B67" s="23">
        <v>13</v>
      </c>
      <c r="C67" s="23">
        <v>15</v>
      </c>
      <c r="D67" s="23">
        <v>17</v>
      </c>
      <c r="E67" s="23">
        <v>30</v>
      </c>
      <c r="F67" s="23">
        <v>35</v>
      </c>
      <c r="G67" s="23">
        <v>27</v>
      </c>
      <c r="H67" s="23">
        <v>17</v>
      </c>
      <c r="I67" s="23">
        <v>22</v>
      </c>
      <c r="J67" s="23">
        <v>14</v>
      </c>
      <c r="K67" s="23">
        <v>46</v>
      </c>
      <c r="L67" s="23">
        <v>28</v>
      </c>
      <c r="M67" s="23">
        <v>28</v>
      </c>
      <c r="N67" s="23">
        <v>31</v>
      </c>
      <c r="O67" s="23">
        <v>62</v>
      </c>
      <c r="P67" s="23">
        <v>39</v>
      </c>
      <c r="Q67" s="23">
        <v>20</v>
      </c>
      <c r="R67" s="23">
        <v>125</v>
      </c>
      <c r="S67" s="23">
        <v>85</v>
      </c>
      <c r="T67" s="23">
        <v>68</v>
      </c>
      <c r="U67" s="23">
        <v>5</v>
      </c>
    </row>
    <row r="68" spans="1:21" x14ac:dyDescent="0.15">
      <c r="A68" s="54" t="s">
        <v>168</v>
      </c>
      <c r="B68" s="23">
        <v>33</v>
      </c>
      <c r="C68" s="23">
        <v>19</v>
      </c>
      <c r="D68" s="23">
        <v>17</v>
      </c>
      <c r="E68" s="23">
        <v>34</v>
      </c>
      <c r="F68" s="23">
        <v>47</v>
      </c>
      <c r="G68" s="23">
        <v>34</v>
      </c>
      <c r="H68" s="23">
        <v>21</v>
      </c>
      <c r="I68" s="23">
        <v>20</v>
      </c>
      <c r="J68" s="23">
        <v>23</v>
      </c>
      <c r="K68" s="23">
        <v>59</v>
      </c>
      <c r="L68" s="23">
        <v>21</v>
      </c>
      <c r="M68" s="23">
        <v>51</v>
      </c>
      <c r="N68" s="23">
        <v>35</v>
      </c>
      <c r="O68" s="23">
        <v>66</v>
      </c>
      <c r="P68" s="23">
        <v>33</v>
      </c>
      <c r="Q68" s="23">
        <v>20</v>
      </c>
      <c r="R68" s="23">
        <v>152</v>
      </c>
      <c r="S68" s="23">
        <v>75</v>
      </c>
      <c r="T68" s="23">
        <v>71</v>
      </c>
      <c r="U68" s="23">
        <v>9</v>
      </c>
    </row>
    <row r="69" spans="1:21" x14ac:dyDescent="0.15">
      <c r="A69" s="54" t="s">
        <v>169</v>
      </c>
      <c r="B69" s="23">
        <v>16</v>
      </c>
      <c r="C69" s="23">
        <v>15</v>
      </c>
      <c r="D69" s="23">
        <v>13</v>
      </c>
      <c r="E69" s="23">
        <v>27</v>
      </c>
      <c r="F69" s="23">
        <v>25</v>
      </c>
      <c r="G69" s="23">
        <v>19</v>
      </c>
      <c r="H69" s="23">
        <v>18</v>
      </c>
      <c r="I69" s="23">
        <v>12</v>
      </c>
      <c r="J69" s="23">
        <v>9</v>
      </c>
      <c r="K69" s="23">
        <v>33</v>
      </c>
      <c r="L69" s="23">
        <v>27</v>
      </c>
      <c r="M69" s="23">
        <v>22</v>
      </c>
      <c r="N69" s="23">
        <v>26</v>
      </c>
      <c r="O69" s="23">
        <v>51</v>
      </c>
      <c r="P69" s="23">
        <v>24</v>
      </c>
      <c r="Q69" s="23">
        <v>14</v>
      </c>
      <c r="R69" s="23">
        <v>128</v>
      </c>
      <c r="S69" s="23">
        <v>75</v>
      </c>
      <c r="T69" s="23">
        <v>42</v>
      </c>
      <c r="U69" s="23">
        <v>6</v>
      </c>
    </row>
    <row r="70" spans="1:21" x14ac:dyDescent="0.15">
      <c r="A70" s="54" t="s">
        <v>170</v>
      </c>
      <c r="B70" s="23">
        <v>6</v>
      </c>
      <c r="C70" s="23">
        <v>7</v>
      </c>
      <c r="D70" s="23">
        <v>0</v>
      </c>
      <c r="E70" s="23">
        <v>10</v>
      </c>
      <c r="F70" s="23">
        <v>7</v>
      </c>
      <c r="G70" s="23">
        <v>6</v>
      </c>
      <c r="H70" s="23">
        <v>2</v>
      </c>
      <c r="I70" s="23">
        <v>6</v>
      </c>
      <c r="J70" s="23">
        <v>6</v>
      </c>
      <c r="K70" s="23">
        <v>12</v>
      </c>
      <c r="L70" s="23">
        <v>6</v>
      </c>
      <c r="M70" s="23">
        <v>8</v>
      </c>
      <c r="N70" s="23">
        <v>10</v>
      </c>
      <c r="O70" s="23">
        <v>20</v>
      </c>
      <c r="P70" s="23">
        <v>8</v>
      </c>
      <c r="Q70" s="23">
        <v>5</v>
      </c>
      <c r="R70" s="23">
        <v>36</v>
      </c>
      <c r="S70" s="23">
        <v>15</v>
      </c>
      <c r="T70" s="23">
        <v>11</v>
      </c>
      <c r="U70" s="23">
        <v>2</v>
      </c>
    </row>
    <row r="71" spans="1:21" x14ac:dyDescent="0.15">
      <c r="A71" s="54" t="s">
        <v>171</v>
      </c>
      <c r="B71" s="23">
        <v>18</v>
      </c>
      <c r="C71" s="23">
        <v>16</v>
      </c>
      <c r="D71" s="23">
        <v>15</v>
      </c>
      <c r="E71" s="23">
        <v>35</v>
      </c>
      <c r="F71" s="23">
        <v>37</v>
      </c>
      <c r="G71" s="23">
        <v>33</v>
      </c>
      <c r="H71" s="23">
        <v>20</v>
      </c>
      <c r="I71" s="23">
        <v>21</v>
      </c>
      <c r="J71" s="23">
        <v>19</v>
      </c>
      <c r="K71" s="23">
        <v>47</v>
      </c>
      <c r="L71" s="23">
        <v>18</v>
      </c>
      <c r="M71" s="23">
        <v>21</v>
      </c>
      <c r="N71" s="23">
        <v>27</v>
      </c>
      <c r="O71" s="23">
        <v>32</v>
      </c>
      <c r="P71" s="23">
        <v>21</v>
      </c>
      <c r="Q71" s="23">
        <v>15</v>
      </c>
      <c r="R71" s="23">
        <v>110</v>
      </c>
      <c r="S71" s="23">
        <v>49</v>
      </c>
      <c r="T71" s="23">
        <v>52</v>
      </c>
      <c r="U71" s="23">
        <v>7</v>
      </c>
    </row>
    <row r="72" spans="1:21" x14ac:dyDescent="0.15">
      <c r="A72" s="54" t="s">
        <v>172</v>
      </c>
      <c r="B72" s="23">
        <v>9</v>
      </c>
      <c r="C72" s="23">
        <v>13</v>
      </c>
      <c r="D72" s="23">
        <v>14</v>
      </c>
      <c r="E72" s="23">
        <v>15</v>
      </c>
      <c r="F72" s="23">
        <v>19</v>
      </c>
      <c r="G72" s="23">
        <v>17</v>
      </c>
      <c r="H72" s="23">
        <v>12</v>
      </c>
      <c r="I72" s="23">
        <v>9</v>
      </c>
      <c r="J72" s="23">
        <v>11</v>
      </c>
      <c r="K72" s="23">
        <v>25</v>
      </c>
      <c r="L72" s="23">
        <v>4</v>
      </c>
      <c r="M72" s="23">
        <v>8</v>
      </c>
      <c r="N72" s="23">
        <v>8</v>
      </c>
      <c r="O72" s="23">
        <v>29</v>
      </c>
      <c r="P72" s="23">
        <v>25</v>
      </c>
      <c r="Q72" s="23">
        <v>14</v>
      </c>
      <c r="R72" s="23">
        <v>62</v>
      </c>
      <c r="S72" s="23">
        <v>28</v>
      </c>
      <c r="T72" s="23">
        <v>35</v>
      </c>
      <c r="U72" s="23">
        <v>10</v>
      </c>
    </row>
    <row r="73" spans="1:21" x14ac:dyDescent="0.15">
      <c r="A73" s="54" t="s">
        <v>173</v>
      </c>
      <c r="B73" s="23">
        <v>16</v>
      </c>
      <c r="C73" s="23">
        <v>16</v>
      </c>
      <c r="D73" s="23">
        <v>12</v>
      </c>
      <c r="E73" s="23">
        <v>12</v>
      </c>
      <c r="F73" s="23">
        <v>15</v>
      </c>
      <c r="G73" s="23">
        <v>25</v>
      </c>
      <c r="H73" s="23">
        <v>13</v>
      </c>
      <c r="I73" s="23">
        <v>13</v>
      </c>
      <c r="J73" s="23">
        <v>13</v>
      </c>
      <c r="K73" s="23">
        <v>27</v>
      </c>
      <c r="L73" s="23">
        <v>15</v>
      </c>
      <c r="M73" s="23">
        <v>17</v>
      </c>
      <c r="N73" s="23">
        <v>17</v>
      </c>
      <c r="O73" s="23">
        <v>23</v>
      </c>
      <c r="P73" s="23">
        <v>21</v>
      </c>
      <c r="Q73" s="23">
        <v>11</v>
      </c>
      <c r="R73" s="23">
        <v>89</v>
      </c>
      <c r="S73" s="23">
        <v>38</v>
      </c>
      <c r="T73" s="23">
        <v>50</v>
      </c>
      <c r="U73" s="23">
        <v>2</v>
      </c>
    </row>
    <row r="74" spans="1:21" x14ac:dyDescent="0.15">
      <c r="A74" s="54" t="s">
        <v>174</v>
      </c>
      <c r="B74" s="23">
        <v>16</v>
      </c>
      <c r="C74" s="23">
        <v>20</v>
      </c>
      <c r="D74" s="23">
        <v>22</v>
      </c>
      <c r="E74" s="23">
        <v>40</v>
      </c>
      <c r="F74" s="23">
        <v>39</v>
      </c>
      <c r="G74" s="23">
        <v>37</v>
      </c>
      <c r="H74" s="23">
        <v>30</v>
      </c>
      <c r="I74" s="23">
        <v>25</v>
      </c>
      <c r="J74" s="23">
        <v>19</v>
      </c>
      <c r="K74" s="23">
        <v>36</v>
      </c>
      <c r="L74" s="23">
        <v>20</v>
      </c>
      <c r="M74" s="23">
        <v>23</v>
      </c>
      <c r="N74" s="23">
        <v>24</v>
      </c>
      <c r="O74" s="23">
        <v>38</v>
      </c>
      <c r="P74" s="23">
        <v>28</v>
      </c>
      <c r="Q74" s="23">
        <v>18</v>
      </c>
      <c r="R74" s="23">
        <v>148</v>
      </c>
      <c r="S74" s="23">
        <v>66</v>
      </c>
      <c r="T74" s="23">
        <v>52</v>
      </c>
      <c r="U74" s="23">
        <v>8</v>
      </c>
    </row>
    <row r="75" spans="1:21" x14ac:dyDescent="0.15">
      <c r="A75" s="54" t="s">
        <v>175</v>
      </c>
      <c r="B75" s="23">
        <v>1</v>
      </c>
      <c r="C75" s="23">
        <v>5</v>
      </c>
      <c r="D75" s="23">
        <v>0</v>
      </c>
      <c r="E75" s="23">
        <v>2</v>
      </c>
      <c r="F75" s="23">
        <v>3</v>
      </c>
      <c r="G75" s="23">
        <v>9</v>
      </c>
      <c r="H75" s="23">
        <v>7</v>
      </c>
      <c r="I75" s="23">
        <v>0</v>
      </c>
      <c r="J75" s="23">
        <v>1</v>
      </c>
      <c r="K75" s="23">
        <v>8</v>
      </c>
      <c r="L75" s="23">
        <v>1</v>
      </c>
      <c r="M75" s="23">
        <v>10</v>
      </c>
      <c r="N75" s="23">
        <v>6</v>
      </c>
      <c r="O75" s="23">
        <v>12</v>
      </c>
      <c r="P75" s="23">
        <v>8</v>
      </c>
      <c r="Q75" s="23">
        <v>7</v>
      </c>
      <c r="R75" s="23">
        <v>17</v>
      </c>
      <c r="S75" s="23">
        <v>11</v>
      </c>
      <c r="T75" s="23">
        <v>11</v>
      </c>
      <c r="U75" s="23">
        <v>2</v>
      </c>
    </row>
    <row r="76" spans="1:21" x14ac:dyDescent="0.15">
      <c r="A76" s="54" t="s">
        <v>176</v>
      </c>
      <c r="B76" s="23">
        <v>7</v>
      </c>
      <c r="C76" s="23">
        <v>8</v>
      </c>
      <c r="D76" s="23">
        <v>3</v>
      </c>
      <c r="E76" s="23">
        <v>2</v>
      </c>
      <c r="F76" s="23">
        <v>5</v>
      </c>
      <c r="G76" s="23">
        <v>0</v>
      </c>
      <c r="H76" s="23">
        <v>0</v>
      </c>
      <c r="I76" s="23">
        <v>3</v>
      </c>
      <c r="J76" s="23">
        <v>2</v>
      </c>
      <c r="K76" s="23">
        <v>8</v>
      </c>
      <c r="L76" s="23">
        <v>6</v>
      </c>
      <c r="M76" s="23">
        <v>11</v>
      </c>
      <c r="N76" s="23">
        <v>6</v>
      </c>
      <c r="O76" s="23">
        <v>7</v>
      </c>
      <c r="P76" s="23">
        <v>6</v>
      </c>
      <c r="Q76" s="23">
        <v>2</v>
      </c>
      <c r="R76" s="23">
        <v>32</v>
      </c>
      <c r="S76" s="23">
        <v>1</v>
      </c>
      <c r="T76" s="23">
        <v>8</v>
      </c>
      <c r="U76" s="23">
        <v>2</v>
      </c>
    </row>
    <row r="77" spans="1:21" x14ac:dyDescent="0.15">
      <c r="A77" s="54" t="s">
        <v>177</v>
      </c>
      <c r="B77" s="23">
        <v>0</v>
      </c>
      <c r="C77" s="23">
        <v>0</v>
      </c>
      <c r="D77" s="23">
        <v>0</v>
      </c>
      <c r="E77" s="23">
        <v>1</v>
      </c>
      <c r="F77" s="23">
        <v>0</v>
      </c>
      <c r="G77" s="23">
        <v>0</v>
      </c>
      <c r="H77" s="23">
        <v>0</v>
      </c>
      <c r="I77" s="23">
        <v>0</v>
      </c>
      <c r="J77" s="23">
        <v>0</v>
      </c>
      <c r="K77" s="23">
        <v>0</v>
      </c>
      <c r="L77" s="23">
        <v>0</v>
      </c>
      <c r="M77" s="23">
        <v>5</v>
      </c>
      <c r="N77" s="23">
        <v>1</v>
      </c>
      <c r="O77" s="23">
        <v>0</v>
      </c>
      <c r="P77" s="23">
        <v>0</v>
      </c>
      <c r="Q77" s="23">
        <v>0</v>
      </c>
      <c r="R77" s="23">
        <v>4</v>
      </c>
      <c r="S77" s="23">
        <v>0</v>
      </c>
      <c r="T77" s="23">
        <v>0</v>
      </c>
      <c r="U77" s="23">
        <v>0</v>
      </c>
    </row>
    <row r="78" spans="1:21" x14ac:dyDescent="0.15">
      <c r="A78" s="54" t="s">
        <v>178</v>
      </c>
      <c r="B78" s="23">
        <v>4</v>
      </c>
      <c r="C78" s="23">
        <v>6</v>
      </c>
      <c r="D78" s="23">
        <v>9</v>
      </c>
      <c r="E78" s="23">
        <v>3</v>
      </c>
      <c r="F78" s="23">
        <v>8</v>
      </c>
      <c r="G78" s="23">
        <v>8</v>
      </c>
      <c r="H78" s="23">
        <v>1</v>
      </c>
      <c r="I78" s="23">
        <v>4</v>
      </c>
      <c r="J78" s="23">
        <v>1</v>
      </c>
      <c r="K78" s="23">
        <v>19</v>
      </c>
      <c r="L78" s="23">
        <v>6</v>
      </c>
      <c r="M78" s="23">
        <v>3</v>
      </c>
      <c r="N78" s="23">
        <v>5</v>
      </c>
      <c r="O78" s="23">
        <v>4</v>
      </c>
      <c r="P78" s="23">
        <v>8</v>
      </c>
      <c r="Q78" s="23">
        <v>3</v>
      </c>
      <c r="R78" s="23">
        <v>38</v>
      </c>
      <c r="S78" s="23">
        <v>14</v>
      </c>
      <c r="T78" s="23">
        <v>17</v>
      </c>
      <c r="U78" s="23">
        <v>4</v>
      </c>
    </row>
    <row r="79" spans="1:21" x14ac:dyDescent="0.15">
      <c r="A79" s="54" t="s">
        <v>179</v>
      </c>
      <c r="B79" s="23">
        <v>6</v>
      </c>
      <c r="C79" s="23">
        <v>7</v>
      </c>
      <c r="D79" s="23">
        <v>4</v>
      </c>
      <c r="E79" s="23">
        <v>4</v>
      </c>
      <c r="F79" s="23">
        <v>10</v>
      </c>
      <c r="G79" s="23">
        <v>7</v>
      </c>
      <c r="H79" s="23">
        <v>3</v>
      </c>
      <c r="I79" s="23">
        <v>3</v>
      </c>
      <c r="J79" s="23">
        <v>2</v>
      </c>
      <c r="K79" s="23">
        <v>16</v>
      </c>
      <c r="L79" s="23">
        <v>2</v>
      </c>
      <c r="M79" s="23">
        <v>5</v>
      </c>
      <c r="N79" s="23">
        <v>7</v>
      </c>
      <c r="O79" s="23">
        <v>6</v>
      </c>
      <c r="P79" s="23">
        <v>24</v>
      </c>
      <c r="Q79" s="23">
        <v>1</v>
      </c>
      <c r="R79" s="23">
        <v>45</v>
      </c>
      <c r="S79" s="23">
        <v>9</v>
      </c>
      <c r="T79" s="23">
        <v>17</v>
      </c>
      <c r="U79" s="23">
        <v>4</v>
      </c>
    </row>
    <row r="80" spans="1:21" x14ac:dyDescent="0.15">
      <c r="A80" s="54" t="s">
        <v>180</v>
      </c>
      <c r="B80" s="23">
        <v>0</v>
      </c>
      <c r="C80" s="23">
        <v>0</v>
      </c>
      <c r="D80" s="23">
        <v>0</v>
      </c>
      <c r="E80" s="23">
        <v>1</v>
      </c>
      <c r="F80" s="23">
        <v>0</v>
      </c>
      <c r="G80" s="23">
        <v>0</v>
      </c>
      <c r="H80" s="23">
        <v>0</v>
      </c>
      <c r="I80" s="23">
        <v>0</v>
      </c>
      <c r="J80" s="23">
        <v>1</v>
      </c>
      <c r="K80" s="23">
        <v>1</v>
      </c>
      <c r="L80" s="23">
        <v>0</v>
      </c>
      <c r="M80" s="23">
        <v>0</v>
      </c>
      <c r="N80" s="23">
        <v>0</v>
      </c>
      <c r="O80" s="23">
        <v>0</v>
      </c>
      <c r="P80" s="23">
        <v>1</v>
      </c>
      <c r="Q80" s="23">
        <v>3</v>
      </c>
      <c r="R80" s="23">
        <v>11</v>
      </c>
      <c r="S80" s="23">
        <v>1</v>
      </c>
      <c r="T80" s="23">
        <v>14</v>
      </c>
      <c r="U80" s="23">
        <v>1</v>
      </c>
    </row>
    <row r="81" spans="1:21" x14ac:dyDescent="0.15">
      <c r="A81" s="54" t="s">
        <v>181</v>
      </c>
      <c r="B81" s="23">
        <v>2</v>
      </c>
      <c r="C81" s="23">
        <v>3</v>
      </c>
      <c r="D81" s="23">
        <v>6</v>
      </c>
      <c r="E81" s="23">
        <v>2</v>
      </c>
      <c r="F81" s="23">
        <v>6</v>
      </c>
      <c r="G81" s="23">
        <v>8</v>
      </c>
      <c r="H81" s="23">
        <v>11</v>
      </c>
      <c r="I81" s="23">
        <v>2</v>
      </c>
      <c r="J81" s="23">
        <v>7</v>
      </c>
      <c r="K81" s="23">
        <v>14</v>
      </c>
      <c r="L81" s="23">
        <v>6</v>
      </c>
      <c r="M81" s="23">
        <v>5</v>
      </c>
      <c r="N81" s="23">
        <v>2</v>
      </c>
      <c r="O81" s="23">
        <v>1</v>
      </c>
      <c r="P81" s="23">
        <v>0</v>
      </c>
      <c r="Q81" s="23">
        <v>0</v>
      </c>
      <c r="R81" s="23">
        <v>23</v>
      </c>
      <c r="S81" s="23">
        <v>8</v>
      </c>
      <c r="T81" s="23">
        <v>4</v>
      </c>
      <c r="U81" s="23">
        <v>1</v>
      </c>
    </row>
    <row r="82" spans="1:21" x14ac:dyDescent="0.15">
      <c r="A82" s="54"/>
    </row>
    <row r="83" spans="1:21" x14ac:dyDescent="0.15">
      <c r="A83" s="54"/>
    </row>
  </sheetData>
  <mergeCells count="23">
    <mergeCell ref="A24:A25"/>
    <mergeCell ref="A4:A5"/>
    <mergeCell ref="A6:A7"/>
    <mergeCell ref="A8:A9"/>
    <mergeCell ref="A14:A15"/>
    <mergeCell ref="A16:A17"/>
    <mergeCell ref="A48:A49"/>
    <mergeCell ref="A26:A27"/>
    <mergeCell ref="A28:A29"/>
    <mergeCell ref="A30:A31"/>
    <mergeCell ref="A32:A33"/>
    <mergeCell ref="A34:A35"/>
    <mergeCell ref="A36:A37"/>
    <mergeCell ref="A38:A39"/>
    <mergeCell ref="A40:A41"/>
    <mergeCell ref="A42:A43"/>
    <mergeCell ref="A44:A45"/>
    <mergeCell ref="A46:A47"/>
    <mergeCell ref="A50:A51"/>
    <mergeCell ref="A52:A53"/>
    <mergeCell ref="A54:A55"/>
    <mergeCell ref="A56:A57"/>
    <mergeCell ref="A58:A59"/>
  </mergeCells>
  <phoneticPr fontId="2"/>
  <pageMargins left="0.70866141732283472" right="0.70866141732283472" top="0.74803149606299213" bottom="0.74803149606299213" header="0.31496062992125984" footer="0.31496062992125984"/>
  <pageSetup paperSize="9" scale="69" orientation="portrait" r:id="rId1"/>
  <rowBreaks count="1" manualBreakCount="1">
    <brk id="20" max="10" man="1"/>
  </rowBreaks>
  <ignoredErrors>
    <ignoredError sqref="B4:K4 B5:J5 B16:J16 B24:J24" formulaRange="1"/>
    <ignoredError sqref="B6:K9 K5 B14:J14 B25:J59" formula="1" formulaRange="1"/>
    <ignoredError sqref="B15:K15 K14 K25:K5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8129" r:id="rId4" name="Button 1">
              <controlPr defaultSize="0" print="0" autoFill="0" autoPict="0" macro="[0]!データ削除36">
                <anchor moveWithCells="1" sizeWithCells="1">
                  <from>
                    <xdr:col>33</xdr:col>
                    <xdr:colOff>76200</xdr:colOff>
                    <xdr:row>0</xdr:row>
                    <xdr:rowOff>161925</xdr:rowOff>
                  </from>
                  <to>
                    <xdr:col>36</xdr:col>
                    <xdr:colOff>57150</xdr:colOff>
                    <xdr:row>2</xdr:row>
                    <xdr:rowOff>76200</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tabColor theme="5" tint="0.39997558519241921"/>
    <pageSetUpPr fitToPage="1"/>
  </sheetPr>
  <dimension ref="A1:AV55"/>
  <sheetViews>
    <sheetView showGridLines="0" view="pageBreakPreview" topLeftCell="A31" zoomScaleNormal="69" zoomScaleSheetLayoutView="100" workbookViewId="0">
      <selection activeCell="H42" sqref="H42"/>
    </sheetView>
  </sheetViews>
  <sheetFormatPr defaultColWidth="13.75" defaultRowHeight="18.75" x14ac:dyDescent="0.15"/>
  <cols>
    <col min="1" max="1" width="10.5" style="1" customWidth="1"/>
    <col min="2" max="11" width="8.75" style="1" customWidth="1"/>
    <col min="12" max="13" width="7.25" style="1" customWidth="1"/>
    <col min="14" max="14" width="6.5" style="1" customWidth="1"/>
    <col min="15" max="34" width="7.625" style="1" customWidth="1"/>
    <col min="35" max="35" width="11.375" style="1" customWidth="1"/>
    <col min="36" max="46" width="7.625" style="1" customWidth="1"/>
    <col min="47" max="47" width="13.75" style="1" customWidth="1"/>
    <col min="48" max="16384" width="13.75" style="1"/>
  </cols>
  <sheetData>
    <row r="1" spans="1:46" s="3" customFormat="1" ht="19.5" x14ac:dyDescent="0.15">
      <c r="A1" s="2" t="s">
        <v>473</v>
      </c>
    </row>
    <row r="2" spans="1:46" x14ac:dyDescent="0.15">
      <c r="A2" s="4"/>
    </row>
    <row r="3" spans="1:46" x14ac:dyDescent="0.15">
      <c r="A3" s="758" t="s">
        <v>474</v>
      </c>
      <c r="B3" s="755" t="s">
        <v>475</v>
      </c>
      <c r="C3" s="756"/>
      <c r="D3" s="756"/>
      <c r="E3" s="756"/>
      <c r="F3" s="756"/>
      <c r="G3" s="756"/>
      <c r="H3" s="756"/>
      <c r="I3" s="756"/>
      <c r="J3" s="756"/>
      <c r="K3" s="757"/>
      <c r="AJ3" s="549" t="s">
        <v>476</v>
      </c>
      <c r="AK3" s="549"/>
    </row>
    <row r="4" spans="1:46" ht="33" x14ac:dyDescent="0.15">
      <c r="A4" s="759"/>
      <c r="B4" s="550" t="s">
        <v>376</v>
      </c>
      <c r="C4" s="550" t="s">
        <v>377</v>
      </c>
      <c r="D4" s="550" t="s">
        <v>378</v>
      </c>
      <c r="E4" s="550" t="s">
        <v>379</v>
      </c>
      <c r="F4" s="550" t="s">
        <v>380</v>
      </c>
      <c r="G4" s="550" t="s">
        <v>381</v>
      </c>
      <c r="H4" s="550" t="s">
        <v>382</v>
      </c>
      <c r="I4" s="550" t="s">
        <v>383</v>
      </c>
      <c r="J4" s="551" t="s">
        <v>463</v>
      </c>
      <c r="K4" s="550" t="s">
        <v>62</v>
      </c>
      <c r="L4" s="43"/>
      <c r="M4" s="43"/>
      <c r="N4" s="34" t="s">
        <v>370</v>
      </c>
      <c r="O4" s="43" t="s">
        <v>384</v>
      </c>
      <c r="P4" s="43" t="s">
        <v>385</v>
      </c>
      <c r="Q4" s="43" t="s">
        <v>386</v>
      </c>
      <c r="R4" s="43" t="s">
        <v>387</v>
      </c>
      <c r="S4" s="43" t="s">
        <v>388</v>
      </c>
      <c r="T4" s="43" t="s">
        <v>389</v>
      </c>
      <c r="U4" s="43" t="s">
        <v>390</v>
      </c>
      <c r="V4" s="43" t="s">
        <v>391</v>
      </c>
      <c r="W4" s="43" t="s">
        <v>392</v>
      </c>
      <c r="X4" s="43" t="s">
        <v>393</v>
      </c>
      <c r="Y4" s="43" t="s">
        <v>394</v>
      </c>
      <c r="Z4" s="43" t="s">
        <v>395</v>
      </c>
      <c r="AA4" s="43" t="s">
        <v>396</v>
      </c>
      <c r="AB4" s="43" t="s">
        <v>397</v>
      </c>
      <c r="AC4" s="43" t="s">
        <v>398</v>
      </c>
      <c r="AD4" s="43" t="s">
        <v>399</v>
      </c>
      <c r="AE4" s="43" t="s">
        <v>400</v>
      </c>
      <c r="AF4" s="43" t="s">
        <v>401</v>
      </c>
      <c r="AG4" s="43" t="s">
        <v>464</v>
      </c>
      <c r="AH4" s="43" t="s">
        <v>591</v>
      </c>
      <c r="AI4" s="43"/>
      <c r="AJ4" s="43"/>
      <c r="AK4" s="43" t="s">
        <v>477</v>
      </c>
      <c r="AL4" s="43" t="s">
        <v>478</v>
      </c>
      <c r="AM4" s="43" t="s">
        <v>479</v>
      </c>
      <c r="AN4" s="43" t="s">
        <v>480</v>
      </c>
      <c r="AO4" s="43" t="s">
        <v>481</v>
      </c>
      <c r="AP4" s="43" t="s">
        <v>482</v>
      </c>
      <c r="AQ4" s="43" t="s">
        <v>483</v>
      </c>
      <c r="AR4" s="43" t="s">
        <v>484</v>
      </c>
      <c r="AS4" s="43" t="s">
        <v>485</v>
      </c>
      <c r="AT4" s="43"/>
    </row>
    <row r="5" spans="1:46" s="22" customFormat="1" x14ac:dyDescent="0.15">
      <c r="A5" s="729" t="s">
        <v>376</v>
      </c>
      <c r="B5" s="552">
        <f>SUM(AK5:AK7)</f>
        <v>865</v>
      </c>
      <c r="C5" s="552">
        <f t="shared" ref="C5:J5" si="0">SUM(AL5:AL7)</f>
        <v>55</v>
      </c>
      <c r="D5" s="552">
        <f t="shared" si="0"/>
        <v>43</v>
      </c>
      <c r="E5" s="552">
        <f t="shared" si="0"/>
        <v>7</v>
      </c>
      <c r="F5" s="552">
        <f t="shared" si="0"/>
        <v>15</v>
      </c>
      <c r="G5" s="552">
        <f t="shared" si="0"/>
        <v>5</v>
      </c>
      <c r="H5" s="552">
        <f t="shared" si="0"/>
        <v>417</v>
      </c>
      <c r="I5" s="552">
        <f t="shared" si="0"/>
        <v>8</v>
      </c>
      <c r="J5" s="552">
        <f t="shared" si="0"/>
        <v>297</v>
      </c>
      <c r="K5" s="553">
        <f>SUM(B5:J5)</f>
        <v>1712</v>
      </c>
      <c r="L5" s="406"/>
      <c r="M5" s="554"/>
      <c r="N5" s="554" t="s">
        <v>384</v>
      </c>
      <c r="O5" s="23">
        <v>197</v>
      </c>
      <c r="P5" s="23">
        <v>50</v>
      </c>
      <c r="Q5" s="23">
        <v>54</v>
      </c>
      <c r="R5" s="23">
        <v>14</v>
      </c>
      <c r="S5" s="23">
        <v>5</v>
      </c>
      <c r="T5" s="23">
        <v>3</v>
      </c>
      <c r="U5" s="23">
        <v>1</v>
      </c>
      <c r="V5" s="23">
        <v>5</v>
      </c>
      <c r="W5" s="23"/>
      <c r="X5" s="23">
        <v>1</v>
      </c>
      <c r="Y5" s="23">
        <v>2</v>
      </c>
      <c r="Z5" s="23">
        <v>1</v>
      </c>
      <c r="AA5" s="23"/>
      <c r="AB5" s="23"/>
      <c r="AC5" s="23"/>
      <c r="AD5" s="23">
        <v>3</v>
      </c>
      <c r="AE5" s="23">
        <v>60</v>
      </c>
      <c r="AF5" s="23">
        <v>2</v>
      </c>
      <c r="AG5" s="23">
        <v>106</v>
      </c>
      <c r="AH5" s="23">
        <v>6</v>
      </c>
      <c r="AI5" s="406"/>
      <c r="AJ5" s="554" t="s">
        <v>384</v>
      </c>
      <c r="AK5" s="555">
        <f>SUM(O5:Q5)</f>
        <v>301</v>
      </c>
      <c r="AL5" s="406">
        <f>SUM(R5:S5)</f>
        <v>19</v>
      </c>
      <c r="AM5" s="406">
        <f>SUM(T5:W5)</f>
        <v>9</v>
      </c>
      <c r="AN5" s="406">
        <f>SUM(X5:Y5)</f>
        <v>3</v>
      </c>
      <c r="AO5" s="406">
        <f>SUM(Z5:AA5)</f>
        <v>1</v>
      </c>
      <c r="AP5" s="406">
        <f>SUM(AB5:AD5)</f>
        <v>3</v>
      </c>
      <c r="AQ5" s="406">
        <f>AE5</f>
        <v>60</v>
      </c>
      <c r="AR5" s="406">
        <f>AF5</f>
        <v>2</v>
      </c>
      <c r="AS5" s="406">
        <f>SUM(AG5:AH5)</f>
        <v>112</v>
      </c>
      <c r="AT5" s="406"/>
    </row>
    <row r="6" spans="1:46" s="22" customFormat="1" x14ac:dyDescent="0.15">
      <c r="A6" s="745"/>
      <c r="B6" s="556">
        <f>B5/B$21</f>
        <v>0.71487603305785119</v>
      </c>
      <c r="C6" s="556">
        <f t="shared" ref="C6:K6" si="1">C5/C$21</f>
        <v>4.3859649122807015E-2</v>
      </c>
      <c r="D6" s="556">
        <f t="shared" si="1"/>
        <v>3.2649962034927864E-2</v>
      </c>
      <c r="E6" s="556">
        <f t="shared" si="1"/>
        <v>5.9372349448685328E-3</v>
      </c>
      <c r="F6" s="556">
        <f t="shared" si="1"/>
        <v>1.4634146341463415E-2</v>
      </c>
      <c r="G6" s="556">
        <f t="shared" si="1"/>
        <v>1.5360983102918587E-3</v>
      </c>
      <c r="H6" s="556">
        <f t="shared" si="1"/>
        <v>0.13100848256361922</v>
      </c>
      <c r="I6" s="556">
        <f t="shared" si="1"/>
        <v>5.2287581699346402E-3</v>
      </c>
      <c r="J6" s="556">
        <f t="shared" si="1"/>
        <v>0.22846153846153847</v>
      </c>
      <c r="K6" s="556">
        <f t="shared" si="1"/>
        <v>0.11224021503966433</v>
      </c>
      <c r="L6" s="406"/>
      <c r="M6" s="554"/>
      <c r="N6" s="554" t="s">
        <v>385</v>
      </c>
      <c r="O6" s="23">
        <v>50</v>
      </c>
      <c r="P6" s="23">
        <v>280</v>
      </c>
      <c r="Q6" s="23">
        <v>79</v>
      </c>
      <c r="R6" s="23">
        <v>13</v>
      </c>
      <c r="S6" s="23">
        <v>6</v>
      </c>
      <c r="T6" s="23">
        <v>5</v>
      </c>
      <c r="U6" s="23">
        <v>3</v>
      </c>
      <c r="V6" s="23">
        <v>16</v>
      </c>
      <c r="W6" s="23">
        <v>1</v>
      </c>
      <c r="X6" s="23">
        <v>3</v>
      </c>
      <c r="Y6" s="23"/>
      <c r="Z6" s="23">
        <v>2</v>
      </c>
      <c r="AA6" s="23">
        <v>7</v>
      </c>
      <c r="AB6" s="23"/>
      <c r="AC6" s="23"/>
      <c r="AD6" s="23">
        <v>1</v>
      </c>
      <c r="AE6" s="23">
        <v>276</v>
      </c>
      <c r="AF6" s="23">
        <v>3</v>
      </c>
      <c r="AG6" s="23">
        <v>134</v>
      </c>
      <c r="AH6" s="23">
        <v>1</v>
      </c>
      <c r="AI6" s="406"/>
      <c r="AJ6" s="554" t="s">
        <v>385</v>
      </c>
      <c r="AK6" s="554">
        <f t="shared" ref="AK6:AK22" si="2">SUM(O6:Q6)</f>
        <v>409</v>
      </c>
      <c r="AL6" s="406">
        <f t="shared" ref="AL6:AL22" si="3">SUM(R6:S6)</f>
        <v>19</v>
      </c>
      <c r="AM6" s="406">
        <f t="shared" ref="AM6:AM22" si="4">SUM(T6:W6)</f>
        <v>25</v>
      </c>
      <c r="AN6" s="406">
        <f t="shared" ref="AN6:AN22" si="5">SUM(X6:Y6)</f>
        <v>3</v>
      </c>
      <c r="AO6" s="406">
        <f t="shared" ref="AO6:AO22" si="6">SUM(Z6:AA6)</f>
        <v>9</v>
      </c>
      <c r="AP6" s="406">
        <f t="shared" ref="AP6:AP22" si="7">SUM(AB6:AD6)</f>
        <v>1</v>
      </c>
      <c r="AQ6" s="406">
        <f t="shared" ref="AQ6:AR22" si="8">AE6</f>
        <v>276</v>
      </c>
      <c r="AR6" s="406">
        <f t="shared" si="8"/>
        <v>3</v>
      </c>
      <c r="AS6" s="406">
        <f t="shared" ref="AS6:AS22" si="9">SUM(AG6:AH6)</f>
        <v>135</v>
      </c>
      <c r="AT6" s="406"/>
    </row>
    <row r="7" spans="1:46" s="22" customFormat="1" x14ac:dyDescent="0.15">
      <c r="A7" s="729" t="s">
        <v>377</v>
      </c>
      <c r="B7" s="552">
        <f>SUM(AK8:AK9)</f>
        <v>208</v>
      </c>
      <c r="C7" s="552">
        <f t="shared" ref="C7:J7" si="10">SUM(AL8:AL9)</f>
        <v>1113</v>
      </c>
      <c r="D7" s="552">
        <f t="shared" si="10"/>
        <v>139</v>
      </c>
      <c r="E7" s="552">
        <f t="shared" si="10"/>
        <v>23</v>
      </c>
      <c r="F7" s="552">
        <f t="shared" si="10"/>
        <v>5</v>
      </c>
      <c r="G7" s="552">
        <f t="shared" si="10"/>
        <v>5</v>
      </c>
      <c r="H7" s="552">
        <f t="shared" si="10"/>
        <v>260</v>
      </c>
      <c r="I7" s="552">
        <f t="shared" si="10"/>
        <v>13</v>
      </c>
      <c r="J7" s="552">
        <f t="shared" si="10"/>
        <v>210</v>
      </c>
      <c r="K7" s="553">
        <f>SUM(B7:J7)</f>
        <v>1976</v>
      </c>
      <c r="L7" s="406"/>
      <c r="M7" s="554"/>
      <c r="N7" s="554" t="s">
        <v>386</v>
      </c>
      <c r="O7" s="23">
        <v>10</v>
      </c>
      <c r="P7" s="23">
        <v>20</v>
      </c>
      <c r="Q7" s="23">
        <v>125</v>
      </c>
      <c r="R7" s="23">
        <v>16</v>
      </c>
      <c r="S7" s="23">
        <v>1</v>
      </c>
      <c r="T7" s="23">
        <v>2</v>
      </c>
      <c r="U7" s="23">
        <v>4</v>
      </c>
      <c r="V7" s="23">
        <v>1</v>
      </c>
      <c r="W7" s="23">
        <v>2</v>
      </c>
      <c r="X7" s="23"/>
      <c r="Y7" s="23">
        <v>1</v>
      </c>
      <c r="Z7" s="23">
        <v>2</v>
      </c>
      <c r="AA7" s="23">
        <v>3</v>
      </c>
      <c r="AB7" s="23"/>
      <c r="AC7" s="23">
        <v>1</v>
      </c>
      <c r="AD7" s="23"/>
      <c r="AE7" s="23">
        <v>81</v>
      </c>
      <c r="AF7" s="23">
        <v>3</v>
      </c>
      <c r="AG7" s="23">
        <v>50</v>
      </c>
      <c r="AH7" s="23"/>
      <c r="AI7" s="406"/>
      <c r="AJ7" s="554" t="s">
        <v>386</v>
      </c>
      <c r="AK7" s="554">
        <f t="shared" si="2"/>
        <v>155</v>
      </c>
      <c r="AL7" s="406">
        <f t="shared" si="3"/>
        <v>17</v>
      </c>
      <c r="AM7" s="406">
        <f t="shared" si="4"/>
        <v>9</v>
      </c>
      <c r="AN7" s="406">
        <f t="shared" si="5"/>
        <v>1</v>
      </c>
      <c r="AO7" s="406">
        <f t="shared" si="6"/>
        <v>5</v>
      </c>
      <c r="AP7" s="406">
        <f t="shared" si="7"/>
        <v>1</v>
      </c>
      <c r="AQ7" s="406">
        <f t="shared" si="8"/>
        <v>81</v>
      </c>
      <c r="AR7" s="406">
        <f t="shared" si="8"/>
        <v>3</v>
      </c>
      <c r="AS7" s="406">
        <f t="shared" si="9"/>
        <v>50</v>
      </c>
      <c r="AT7" s="406"/>
    </row>
    <row r="8" spans="1:46" s="22" customFormat="1" x14ac:dyDescent="0.15">
      <c r="A8" s="745"/>
      <c r="B8" s="556">
        <f>B7/B$21</f>
        <v>0.17190082644628099</v>
      </c>
      <c r="C8" s="556">
        <f t="shared" ref="C8:K8" si="11">C7/C$21</f>
        <v>0.88755980861244022</v>
      </c>
      <c r="D8" s="556">
        <f t="shared" si="11"/>
        <v>0.10554290053151101</v>
      </c>
      <c r="E8" s="556">
        <f t="shared" si="11"/>
        <v>1.9508057675996608E-2</v>
      </c>
      <c r="F8" s="556">
        <f t="shared" si="11"/>
        <v>4.8780487804878049E-3</v>
      </c>
      <c r="G8" s="556">
        <f t="shared" si="11"/>
        <v>1.5360983102918587E-3</v>
      </c>
      <c r="H8" s="556">
        <f t="shared" si="11"/>
        <v>8.1683945962928051E-2</v>
      </c>
      <c r="I8" s="556">
        <f t="shared" si="11"/>
        <v>8.4967320261437902E-3</v>
      </c>
      <c r="J8" s="556">
        <f t="shared" si="11"/>
        <v>0.16153846153846155</v>
      </c>
      <c r="K8" s="556">
        <f t="shared" si="11"/>
        <v>0.12954828558316397</v>
      </c>
      <c r="L8" s="406"/>
      <c r="M8" s="554"/>
      <c r="N8" s="554" t="s">
        <v>387</v>
      </c>
      <c r="O8" s="23">
        <v>42</v>
      </c>
      <c r="P8" s="23">
        <v>27</v>
      </c>
      <c r="Q8" s="23">
        <v>77</v>
      </c>
      <c r="R8" s="23">
        <v>493</v>
      </c>
      <c r="S8" s="23">
        <v>234</v>
      </c>
      <c r="T8" s="23">
        <v>44</v>
      </c>
      <c r="U8" s="23">
        <v>12</v>
      </c>
      <c r="V8" s="23">
        <v>23</v>
      </c>
      <c r="W8" s="23">
        <v>13</v>
      </c>
      <c r="X8" s="23">
        <v>10</v>
      </c>
      <c r="Y8" s="23">
        <v>6</v>
      </c>
      <c r="Z8" s="23">
        <v>1</v>
      </c>
      <c r="AA8" s="23">
        <v>2</v>
      </c>
      <c r="AB8" s="23">
        <v>2</v>
      </c>
      <c r="AC8" s="23">
        <v>1</v>
      </c>
      <c r="AD8" s="23">
        <v>1</v>
      </c>
      <c r="AE8" s="23">
        <v>186</v>
      </c>
      <c r="AF8" s="23">
        <v>11</v>
      </c>
      <c r="AG8" s="23">
        <v>139</v>
      </c>
      <c r="AH8" s="23">
        <v>1</v>
      </c>
      <c r="AI8" s="406"/>
      <c r="AJ8" s="554" t="s">
        <v>387</v>
      </c>
      <c r="AK8" s="554">
        <f t="shared" si="2"/>
        <v>146</v>
      </c>
      <c r="AL8" s="406">
        <f t="shared" si="3"/>
        <v>727</v>
      </c>
      <c r="AM8" s="406">
        <f t="shared" si="4"/>
        <v>92</v>
      </c>
      <c r="AN8" s="406">
        <f t="shared" si="5"/>
        <v>16</v>
      </c>
      <c r="AO8" s="406">
        <f t="shared" si="6"/>
        <v>3</v>
      </c>
      <c r="AP8" s="406">
        <f t="shared" si="7"/>
        <v>4</v>
      </c>
      <c r="AQ8" s="406">
        <f t="shared" si="8"/>
        <v>186</v>
      </c>
      <c r="AR8" s="406">
        <f t="shared" si="8"/>
        <v>11</v>
      </c>
      <c r="AS8" s="406">
        <f t="shared" si="9"/>
        <v>140</v>
      </c>
      <c r="AT8" s="406"/>
    </row>
    <row r="9" spans="1:46" s="22" customFormat="1" x14ac:dyDescent="0.15">
      <c r="A9" s="729" t="s">
        <v>378</v>
      </c>
      <c r="B9" s="552">
        <f>SUM(AK10:AK13)</f>
        <v>37</v>
      </c>
      <c r="C9" s="552">
        <f t="shared" ref="C9:J9" si="12">SUM(AL10:AL13)</f>
        <v>41</v>
      </c>
      <c r="D9" s="552">
        <f t="shared" si="12"/>
        <v>899</v>
      </c>
      <c r="E9" s="552">
        <f t="shared" si="12"/>
        <v>51</v>
      </c>
      <c r="F9" s="552">
        <f t="shared" si="12"/>
        <v>6</v>
      </c>
      <c r="G9" s="552">
        <f t="shared" si="12"/>
        <v>12</v>
      </c>
      <c r="H9" s="552">
        <f t="shared" si="12"/>
        <v>175</v>
      </c>
      <c r="I9" s="552">
        <f t="shared" si="12"/>
        <v>7</v>
      </c>
      <c r="J9" s="552">
        <f t="shared" si="12"/>
        <v>146</v>
      </c>
      <c r="K9" s="553">
        <f>SUM(B9:J9)</f>
        <v>1374</v>
      </c>
      <c r="L9" s="406"/>
      <c r="M9" s="554"/>
      <c r="N9" s="554" t="s">
        <v>388</v>
      </c>
      <c r="O9" s="23">
        <v>9</v>
      </c>
      <c r="P9" s="23">
        <v>13</v>
      </c>
      <c r="Q9" s="23">
        <v>40</v>
      </c>
      <c r="R9" s="23">
        <v>112</v>
      </c>
      <c r="S9" s="23">
        <v>274</v>
      </c>
      <c r="T9" s="23">
        <v>22</v>
      </c>
      <c r="U9" s="23">
        <v>8</v>
      </c>
      <c r="V9" s="23">
        <v>9</v>
      </c>
      <c r="W9" s="23">
        <v>8</v>
      </c>
      <c r="X9" s="23">
        <v>6</v>
      </c>
      <c r="Y9" s="23">
        <v>1</v>
      </c>
      <c r="Z9" s="23">
        <v>1</v>
      </c>
      <c r="AA9" s="23">
        <v>1</v>
      </c>
      <c r="AB9" s="23">
        <v>1</v>
      </c>
      <c r="AC9" s="23"/>
      <c r="AD9" s="23"/>
      <c r="AE9" s="23">
        <v>74</v>
      </c>
      <c r="AF9" s="23">
        <v>2</v>
      </c>
      <c r="AG9" s="23">
        <v>70</v>
      </c>
      <c r="AH9" s="23"/>
      <c r="AI9" s="406"/>
      <c r="AJ9" s="554" t="s">
        <v>388</v>
      </c>
      <c r="AK9" s="554">
        <f t="shared" si="2"/>
        <v>62</v>
      </c>
      <c r="AL9" s="406">
        <f t="shared" si="3"/>
        <v>386</v>
      </c>
      <c r="AM9" s="406">
        <f t="shared" si="4"/>
        <v>47</v>
      </c>
      <c r="AN9" s="406">
        <f t="shared" si="5"/>
        <v>7</v>
      </c>
      <c r="AO9" s="406">
        <f t="shared" si="6"/>
        <v>2</v>
      </c>
      <c r="AP9" s="406">
        <f t="shared" si="7"/>
        <v>1</v>
      </c>
      <c r="AQ9" s="406">
        <f t="shared" si="8"/>
        <v>74</v>
      </c>
      <c r="AR9" s="406">
        <f t="shared" si="8"/>
        <v>2</v>
      </c>
      <c r="AS9" s="406">
        <f t="shared" si="9"/>
        <v>70</v>
      </c>
      <c r="AT9" s="406"/>
    </row>
    <row r="10" spans="1:46" s="22" customFormat="1" x14ac:dyDescent="0.15">
      <c r="A10" s="745"/>
      <c r="B10" s="556">
        <f>B9/B$21</f>
        <v>3.0578512396694214E-2</v>
      </c>
      <c r="C10" s="556">
        <f t="shared" ref="C10:K10" si="13">C9/C$21</f>
        <v>3.2695374800637958E-2</v>
      </c>
      <c r="D10" s="556">
        <f t="shared" si="13"/>
        <v>0.68261199696279418</v>
      </c>
      <c r="E10" s="556">
        <f t="shared" si="13"/>
        <v>4.3256997455470736E-2</v>
      </c>
      <c r="F10" s="556">
        <f t="shared" si="13"/>
        <v>5.8536585365853658E-3</v>
      </c>
      <c r="G10" s="556">
        <f t="shared" si="13"/>
        <v>3.6866359447004608E-3</v>
      </c>
      <c r="H10" s="556">
        <f t="shared" si="13"/>
        <v>5.4979579013509271E-2</v>
      </c>
      <c r="I10" s="556">
        <f t="shared" si="13"/>
        <v>4.5751633986928107E-3</v>
      </c>
      <c r="J10" s="556">
        <f t="shared" si="13"/>
        <v>0.1123076923076923</v>
      </c>
      <c r="K10" s="556">
        <f t="shared" si="13"/>
        <v>9.0080639874123125E-2</v>
      </c>
      <c r="L10" s="406"/>
      <c r="M10" s="554"/>
      <c r="N10" s="554" t="s">
        <v>389</v>
      </c>
      <c r="O10" s="23">
        <v>2</v>
      </c>
      <c r="P10" s="23">
        <v>17</v>
      </c>
      <c r="Q10" s="23">
        <v>13</v>
      </c>
      <c r="R10" s="23">
        <v>13</v>
      </c>
      <c r="S10" s="23">
        <v>17</v>
      </c>
      <c r="T10" s="23">
        <v>272</v>
      </c>
      <c r="U10" s="23">
        <v>70</v>
      </c>
      <c r="V10" s="23">
        <v>61</v>
      </c>
      <c r="W10" s="23">
        <v>54</v>
      </c>
      <c r="X10" s="23">
        <v>23</v>
      </c>
      <c r="Y10" s="23">
        <v>10</v>
      </c>
      <c r="Z10" s="23">
        <v>2</v>
      </c>
      <c r="AA10" s="23">
        <v>1</v>
      </c>
      <c r="AB10" s="23">
        <v>4</v>
      </c>
      <c r="AC10" s="23"/>
      <c r="AD10" s="23">
        <v>4</v>
      </c>
      <c r="AE10" s="23">
        <v>79</v>
      </c>
      <c r="AF10" s="23">
        <v>7</v>
      </c>
      <c r="AG10" s="23">
        <v>86</v>
      </c>
      <c r="AH10" s="23">
        <v>4</v>
      </c>
      <c r="AI10" s="406"/>
      <c r="AJ10" s="554" t="s">
        <v>389</v>
      </c>
      <c r="AK10" s="554">
        <f t="shared" si="2"/>
        <v>32</v>
      </c>
      <c r="AL10" s="406">
        <f t="shared" si="3"/>
        <v>30</v>
      </c>
      <c r="AM10" s="406">
        <f t="shared" si="4"/>
        <v>457</v>
      </c>
      <c r="AN10" s="406">
        <f t="shared" si="5"/>
        <v>33</v>
      </c>
      <c r="AO10" s="406">
        <f t="shared" si="6"/>
        <v>3</v>
      </c>
      <c r="AP10" s="406">
        <f t="shared" si="7"/>
        <v>8</v>
      </c>
      <c r="AQ10" s="406">
        <f t="shared" si="8"/>
        <v>79</v>
      </c>
      <c r="AR10" s="406">
        <f t="shared" si="8"/>
        <v>7</v>
      </c>
      <c r="AS10" s="406">
        <f t="shared" si="9"/>
        <v>90</v>
      </c>
      <c r="AT10" s="406"/>
    </row>
    <row r="11" spans="1:46" s="22" customFormat="1" x14ac:dyDescent="0.15">
      <c r="A11" s="729" t="s">
        <v>379</v>
      </c>
      <c r="B11" s="552">
        <f>SUM(AK14:AK15)</f>
        <v>13</v>
      </c>
      <c r="C11" s="552">
        <f t="shared" ref="C11:J11" si="14">SUM(AL14:AL15)</f>
        <v>3</v>
      </c>
      <c r="D11" s="552">
        <f t="shared" si="14"/>
        <v>61</v>
      </c>
      <c r="E11" s="552">
        <f t="shared" si="14"/>
        <v>784</v>
      </c>
      <c r="F11" s="552">
        <f t="shared" si="14"/>
        <v>44</v>
      </c>
      <c r="G11" s="552">
        <f t="shared" si="14"/>
        <v>10</v>
      </c>
      <c r="H11" s="552">
        <f t="shared" si="14"/>
        <v>344</v>
      </c>
      <c r="I11" s="552">
        <f t="shared" si="14"/>
        <v>11</v>
      </c>
      <c r="J11" s="552">
        <f t="shared" si="14"/>
        <v>47</v>
      </c>
      <c r="K11" s="553">
        <f>SUM(B11:J11)</f>
        <v>1317</v>
      </c>
      <c r="L11" s="406"/>
      <c r="M11" s="554"/>
      <c r="N11" s="554" t="s">
        <v>390</v>
      </c>
      <c r="O11" s="23">
        <v>1</v>
      </c>
      <c r="P11" s="23"/>
      <c r="Q11" s="23">
        <v>1</v>
      </c>
      <c r="R11" s="23">
        <v>1</v>
      </c>
      <c r="S11" s="23">
        <v>1</v>
      </c>
      <c r="T11" s="23">
        <v>15</v>
      </c>
      <c r="U11" s="23">
        <v>97</v>
      </c>
      <c r="V11" s="23">
        <v>30</v>
      </c>
      <c r="W11" s="23">
        <v>41</v>
      </c>
      <c r="X11" s="23">
        <v>4</v>
      </c>
      <c r="Y11" s="23">
        <v>1</v>
      </c>
      <c r="Z11" s="23">
        <v>1</v>
      </c>
      <c r="AA11" s="23"/>
      <c r="AB11" s="23"/>
      <c r="AC11" s="23">
        <v>2</v>
      </c>
      <c r="AD11" s="23">
        <v>1</v>
      </c>
      <c r="AE11" s="23">
        <v>21</v>
      </c>
      <c r="AF11" s="23"/>
      <c r="AG11" s="23">
        <v>9</v>
      </c>
      <c r="AH11" s="23">
        <v>1</v>
      </c>
      <c r="AI11" s="406"/>
      <c r="AJ11" s="554" t="s">
        <v>390</v>
      </c>
      <c r="AK11" s="554">
        <f t="shared" si="2"/>
        <v>2</v>
      </c>
      <c r="AL11" s="406">
        <f t="shared" si="3"/>
        <v>2</v>
      </c>
      <c r="AM11" s="406">
        <f t="shared" si="4"/>
        <v>183</v>
      </c>
      <c r="AN11" s="406">
        <f t="shared" si="5"/>
        <v>5</v>
      </c>
      <c r="AO11" s="406">
        <f t="shared" si="6"/>
        <v>1</v>
      </c>
      <c r="AP11" s="406">
        <f t="shared" si="7"/>
        <v>3</v>
      </c>
      <c r="AQ11" s="406">
        <f t="shared" si="8"/>
        <v>21</v>
      </c>
      <c r="AR11" s="406">
        <f t="shared" si="8"/>
        <v>0</v>
      </c>
      <c r="AS11" s="406">
        <f t="shared" si="9"/>
        <v>10</v>
      </c>
      <c r="AT11" s="406"/>
    </row>
    <row r="12" spans="1:46" s="22" customFormat="1" x14ac:dyDescent="0.15">
      <c r="A12" s="745"/>
      <c r="B12" s="556">
        <f>B11/B$21</f>
        <v>1.0743801652892562E-2</v>
      </c>
      <c r="C12" s="556">
        <f t="shared" ref="C12:K12" si="15">C11/C$21</f>
        <v>2.3923444976076554E-3</v>
      </c>
      <c r="D12" s="556">
        <f t="shared" si="15"/>
        <v>4.6317388003037203E-2</v>
      </c>
      <c r="E12" s="556">
        <f t="shared" si="15"/>
        <v>0.66497031382527561</v>
      </c>
      <c r="F12" s="556">
        <f t="shared" si="15"/>
        <v>4.2926829268292686E-2</v>
      </c>
      <c r="G12" s="556">
        <f t="shared" si="15"/>
        <v>3.0721966205837174E-3</v>
      </c>
      <c r="H12" s="556">
        <f t="shared" si="15"/>
        <v>0.1080741438894125</v>
      </c>
      <c r="I12" s="556">
        <f t="shared" si="15"/>
        <v>7.1895424836601303E-3</v>
      </c>
      <c r="J12" s="556">
        <f t="shared" si="15"/>
        <v>3.6153846153846154E-2</v>
      </c>
      <c r="K12" s="556">
        <f t="shared" si="15"/>
        <v>8.6343670097685704E-2</v>
      </c>
      <c r="L12" s="406"/>
      <c r="M12" s="554"/>
      <c r="N12" s="554" t="s">
        <v>391</v>
      </c>
      <c r="O12" s="23">
        <v>1</v>
      </c>
      <c r="P12" s="23"/>
      <c r="Q12" s="23">
        <v>2</v>
      </c>
      <c r="R12" s="23">
        <v>4</v>
      </c>
      <c r="S12" s="23">
        <v>1</v>
      </c>
      <c r="T12" s="23">
        <v>8</v>
      </c>
      <c r="U12" s="23">
        <v>11</v>
      </c>
      <c r="V12" s="23">
        <v>116</v>
      </c>
      <c r="W12" s="23">
        <v>4</v>
      </c>
      <c r="X12" s="23">
        <v>3</v>
      </c>
      <c r="Y12" s="23">
        <v>2</v>
      </c>
      <c r="Z12" s="23">
        <v>2</v>
      </c>
      <c r="AA12" s="23"/>
      <c r="AB12" s="23"/>
      <c r="AC12" s="23"/>
      <c r="AD12" s="23">
        <v>1</v>
      </c>
      <c r="AE12" s="23">
        <v>62</v>
      </c>
      <c r="AF12" s="23"/>
      <c r="AG12" s="23">
        <v>3</v>
      </c>
      <c r="AH12" s="23"/>
      <c r="AI12" s="406"/>
      <c r="AJ12" s="554" t="s">
        <v>391</v>
      </c>
      <c r="AK12" s="554">
        <f t="shared" si="2"/>
        <v>3</v>
      </c>
      <c r="AL12" s="406">
        <f t="shared" si="3"/>
        <v>5</v>
      </c>
      <c r="AM12" s="406">
        <f t="shared" si="4"/>
        <v>139</v>
      </c>
      <c r="AN12" s="406">
        <f t="shared" si="5"/>
        <v>5</v>
      </c>
      <c r="AO12" s="406">
        <f t="shared" si="6"/>
        <v>2</v>
      </c>
      <c r="AP12" s="406">
        <f t="shared" si="7"/>
        <v>1</v>
      </c>
      <c r="AQ12" s="406">
        <f t="shared" si="8"/>
        <v>62</v>
      </c>
      <c r="AR12" s="406">
        <f t="shared" si="8"/>
        <v>0</v>
      </c>
      <c r="AS12" s="406">
        <f t="shared" si="9"/>
        <v>3</v>
      </c>
      <c r="AT12" s="406"/>
    </row>
    <row r="13" spans="1:46" s="22" customFormat="1" x14ac:dyDescent="0.15">
      <c r="A13" s="729" t="s">
        <v>380</v>
      </c>
      <c r="B13" s="552">
        <f>SUM(AK16:AK17)</f>
        <v>11</v>
      </c>
      <c r="C13" s="552">
        <f t="shared" ref="C13:J13" si="16">SUM(AL16:AL17)</f>
        <v>5</v>
      </c>
      <c r="D13" s="552">
        <f t="shared" si="16"/>
        <v>23</v>
      </c>
      <c r="E13" s="552">
        <f t="shared" si="16"/>
        <v>65</v>
      </c>
      <c r="F13" s="552">
        <f t="shared" si="16"/>
        <v>597</v>
      </c>
      <c r="G13" s="552">
        <f t="shared" si="16"/>
        <v>20</v>
      </c>
      <c r="H13" s="552">
        <f t="shared" si="16"/>
        <v>293</v>
      </c>
      <c r="I13" s="552">
        <f t="shared" si="16"/>
        <v>149</v>
      </c>
      <c r="J13" s="552">
        <f t="shared" si="16"/>
        <v>71</v>
      </c>
      <c r="K13" s="553">
        <f>SUM(B13:J13)</f>
        <v>1234</v>
      </c>
      <c r="L13" s="406"/>
      <c r="M13" s="554"/>
      <c r="N13" s="554" t="s">
        <v>392</v>
      </c>
      <c r="O13" s="23"/>
      <c r="P13" s="23"/>
      <c r="Q13" s="23"/>
      <c r="R13" s="23">
        <v>3</v>
      </c>
      <c r="S13" s="23">
        <v>1</v>
      </c>
      <c r="T13" s="23">
        <v>7</v>
      </c>
      <c r="U13" s="23">
        <v>11</v>
      </c>
      <c r="V13" s="23">
        <v>6</v>
      </c>
      <c r="W13" s="23">
        <v>96</v>
      </c>
      <c r="X13" s="23">
        <v>8</v>
      </c>
      <c r="Y13" s="23"/>
      <c r="Z13" s="23"/>
      <c r="AA13" s="23"/>
      <c r="AB13" s="23"/>
      <c r="AC13" s="23"/>
      <c r="AD13" s="23"/>
      <c r="AE13" s="23">
        <v>13</v>
      </c>
      <c r="AF13" s="23"/>
      <c r="AG13" s="23">
        <v>43</v>
      </c>
      <c r="AH13" s="23"/>
      <c r="AI13" s="406"/>
      <c r="AJ13" s="554" t="s">
        <v>392</v>
      </c>
      <c r="AK13" s="554">
        <f t="shared" si="2"/>
        <v>0</v>
      </c>
      <c r="AL13" s="406">
        <f t="shared" si="3"/>
        <v>4</v>
      </c>
      <c r="AM13" s="406">
        <f t="shared" si="4"/>
        <v>120</v>
      </c>
      <c r="AN13" s="406">
        <f t="shared" si="5"/>
        <v>8</v>
      </c>
      <c r="AO13" s="406">
        <f t="shared" si="6"/>
        <v>0</v>
      </c>
      <c r="AP13" s="406">
        <f t="shared" si="7"/>
        <v>0</v>
      </c>
      <c r="AQ13" s="406">
        <f t="shared" si="8"/>
        <v>13</v>
      </c>
      <c r="AR13" s="406">
        <f t="shared" si="8"/>
        <v>0</v>
      </c>
      <c r="AS13" s="406">
        <f t="shared" si="9"/>
        <v>43</v>
      </c>
      <c r="AT13" s="406"/>
    </row>
    <row r="14" spans="1:46" s="22" customFormat="1" x14ac:dyDescent="0.15">
      <c r="A14" s="745"/>
      <c r="B14" s="556">
        <f>B13/B$21</f>
        <v>9.0909090909090905E-3</v>
      </c>
      <c r="C14" s="556">
        <f t="shared" ref="C14:K14" si="17">C13/C$21</f>
        <v>3.9872408293460922E-3</v>
      </c>
      <c r="D14" s="556">
        <f t="shared" si="17"/>
        <v>1.7463933181473046E-2</v>
      </c>
      <c r="E14" s="556">
        <f t="shared" si="17"/>
        <v>5.5131467345207803E-2</v>
      </c>
      <c r="F14" s="556">
        <f t="shared" si="17"/>
        <v>0.58243902439024386</v>
      </c>
      <c r="G14" s="556">
        <f t="shared" si="17"/>
        <v>6.1443932411674347E-3</v>
      </c>
      <c r="H14" s="556">
        <f t="shared" si="17"/>
        <v>9.2051523719761233E-2</v>
      </c>
      <c r="I14" s="556">
        <f t="shared" si="17"/>
        <v>9.7385620915032681E-2</v>
      </c>
      <c r="J14" s="556">
        <f t="shared" si="17"/>
        <v>5.4615384615384614E-2</v>
      </c>
      <c r="K14" s="556">
        <f t="shared" si="17"/>
        <v>8.0902117616206651E-2</v>
      </c>
      <c r="L14" s="406"/>
      <c r="M14" s="554"/>
      <c r="N14" s="554" t="s">
        <v>393</v>
      </c>
      <c r="O14" s="23">
        <v>3</v>
      </c>
      <c r="P14" s="23">
        <v>3</v>
      </c>
      <c r="Q14" s="23">
        <v>3</v>
      </c>
      <c r="R14" s="23">
        <v>2</v>
      </c>
      <c r="S14" s="23">
        <v>1</v>
      </c>
      <c r="T14" s="23">
        <v>3</v>
      </c>
      <c r="U14" s="23">
        <v>9</v>
      </c>
      <c r="V14" s="23">
        <v>14</v>
      </c>
      <c r="W14" s="23">
        <v>16</v>
      </c>
      <c r="X14" s="23">
        <v>396</v>
      </c>
      <c r="Y14" s="23">
        <v>31</v>
      </c>
      <c r="Z14" s="23">
        <v>1</v>
      </c>
      <c r="AA14" s="23">
        <v>4</v>
      </c>
      <c r="AB14" s="23"/>
      <c r="AC14" s="23">
        <v>1</v>
      </c>
      <c r="AD14" s="23"/>
      <c r="AE14" s="23">
        <v>257</v>
      </c>
      <c r="AF14" s="23">
        <v>4</v>
      </c>
      <c r="AG14" s="23">
        <v>20</v>
      </c>
      <c r="AH14" s="23">
        <v>1</v>
      </c>
      <c r="AI14" s="406"/>
      <c r="AJ14" s="554" t="s">
        <v>393</v>
      </c>
      <c r="AK14" s="554">
        <f t="shared" si="2"/>
        <v>9</v>
      </c>
      <c r="AL14" s="406">
        <f t="shared" si="3"/>
        <v>3</v>
      </c>
      <c r="AM14" s="406">
        <f t="shared" si="4"/>
        <v>42</v>
      </c>
      <c r="AN14" s="406">
        <f t="shared" si="5"/>
        <v>427</v>
      </c>
      <c r="AO14" s="406">
        <f t="shared" si="6"/>
        <v>5</v>
      </c>
      <c r="AP14" s="406">
        <f t="shared" si="7"/>
        <v>1</v>
      </c>
      <c r="AQ14" s="406">
        <f t="shared" si="8"/>
        <v>257</v>
      </c>
      <c r="AR14" s="406">
        <f t="shared" si="8"/>
        <v>4</v>
      </c>
      <c r="AS14" s="406">
        <f t="shared" si="9"/>
        <v>21</v>
      </c>
      <c r="AT14" s="406"/>
    </row>
    <row r="15" spans="1:46" s="22" customFormat="1" x14ac:dyDescent="0.15">
      <c r="A15" s="729" t="s">
        <v>381</v>
      </c>
      <c r="B15" s="552">
        <f>SUM(AK18:AK20)</f>
        <v>42</v>
      </c>
      <c r="C15" s="552">
        <f t="shared" ref="C15:J15" si="18">SUM(AL18:AL20)</f>
        <v>28</v>
      </c>
      <c r="D15" s="552">
        <f t="shared" si="18"/>
        <v>118</v>
      </c>
      <c r="E15" s="552">
        <f t="shared" si="18"/>
        <v>168</v>
      </c>
      <c r="F15" s="552">
        <f t="shared" si="18"/>
        <v>137</v>
      </c>
      <c r="G15" s="552">
        <f t="shared" si="18"/>
        <v>3088</v>
      </c>
      <c r="H15" s="552">
        <f t="shared" si="18"/>
        <v>1014</v>
      </c>
      <c r="I15" s="552">
        <f t="shared" si="18"/>
        <v>369</v>
      </c>
      <c r="J15" s="552">
        <f t="shared" si="18"/>
        <v>430</v>
      </c>
      <c r="K15" s="553">
        <f>SUM(B15:J15)</f>
        <v>5394</v>
      </c>
      <c r="L15" s="406"/>
      <c r="M15" s="554"/>
      <c r="N15" s="554" t="s">
        <v>394</v>
      </c>
      <c r="O15" s="23">
        <v>1</v>
      </c>
      <c r="P15" s="23">
        <v>1</v>
      </c>
      <c r="Q15" s="23">
        <v>2</v>
      </c>
      <c r="R15" s="23"/>
      <c r="S15" s="23"/>
      <c r="T15" s="23">
        <v>2</v>
      </c>
      <c r="U15" s="23">
        <v>2</v>
      </c>
      <c r="V15" s="23">
        <v>5</v>
      </c>
      <c r="W15" s="23">
        <v>10</v>
      </c>
      <c r="X15" s="23">
        <v>68</v>
      </c>
      <c r="Y15" s="23">
        <v>289</v>
      </c>
      <c r="Z15" s="23">
        <v>33</v>
      </c>
      <c r="AA15" s="23">
        <v>6</v>
      </c>
      <c r="AB15" s="23">
        <v>3</v>
      </c>
      <c r="AC15" s="23">
        <v>1</v>
      </c>
      <c r="AD15" s="23">
        <v>5</v>
      </c>
      <c r="AE15" s="23">
        <v>87</v>
      </c>
      <c r="AF15" s="23">
        <v>7</v>
      </c>
      <c r="AG15" s="23">
        <v>24</v>
      </c>
      <c r="AH15" s="23">
        <v>2</v>
      </c>
      <c r="AI15" s="406"/>
      <c r="AJ15" s="554" t="s">
        <v>394</v>
      </c>
      <c r="AK15" s="554">
        <f t="shared" si="2"/>
        <v>4</v>
      </c>
      <c r="AL15" s="406">
        <f t="shared" si="3"/>
        <v>0</v>
      </c>
      <c r="AM15" s="406">
        <f t="shared" si="4"/>
        <v>19</v>
      </c>
      <c r="AN15" s="406">
        <f t="shared" si="5"/>
        <v>357</v>
      </c>
      <c r="AO15" s="406">
        <f t="shared" si="6"/>
        <v>39</v>
      </c>
      <c r="AP15" s="406">
        <f t="shared" si="7"/>
        <v>9</v>
      </c>
      <c r="AQ15" s="406">
        <f t="shared" si="8"/>
        <v>87</v>
      </c>
      <c r="AR15" s="406">
        <f t="shared" si="8"/>
        <v>7</v>
      </c>
      <c r="AS15" s="406">
        <f t="shared" si="9"/>
        <v>26</v>
      </c>
      <c r="AT15" s="406"/>
    </row>
    <row r="16" spans="1:46" s="22" customFormat="1" x14ac:dyDescent="0.15">
      <c r="A16" s="745"/>
      <c r="B16" s="556">
        <f>B15/B$21</f>
        <v>3.4710743801652892E-2</v>
      </c>
      <c r="C16" s="556">
        <f t="shared" ref="C16:K16" si="19">C15/C$21</f>
        <v>2.2328548644338118E-2</v>
      </c>
      <c r="D16" s="556">
        <f t="shared" si="19"/>
        <v>8.959757023538345E-2</v>
      </c>
      <c r="E16" s="556">
        <f t="shared" si="19"/>
        <v>0.14249363867684478</v>
      </c>
      <c r="F16" s="556">
        <f t="shared" si="19"/>
        <v>0.13365853658536586</v>
      </c>
      <c r="G16" s="556">
        <f t="shared" si="19"/>
        <v>0.94869431643625191</v>
      </c>
      <c r="H16" s="556">
        <f t="shared" si="19"/>
        <v>0.31856738925541944</v>
      </c>
      <c r="I16" s="556">
        <f t="shared" si="19"/>
        <v>0.2411764705882353</v>
      </c>
      <c r="J16" s="556">
        <f t="shared" si="19"/>
        <v>0.33076923076923076</v>
      </c>
      <c r="K16" s="556">
        <f t="shared" si="19"/>
        <v>0.35363535042286764</v>
      </c>
      <c r="L16" s="406"/>
      <c r="M16" s="554"/>
      <c r="N16" s="554" t="s">
        <v>395</v>
      </c>
      <c r="O16" s="23">
        <v>3</v>
      </c>
      <c r="P16" s="23"/>
      <c r="Q16" s="23">
        <v>1</v>
      </c>
      <c r="R16" s="23"/>
      <c r="S16" s="23"/>
      <c r="T16" s="23"/>
      <c r="U16" s="23"/>
      <c r="V16" s="23">
        <v>7</v>
      </c>
      <c r="W16" s="23"/>
      <c r="X16" s="23">
        <v>11</v>
      </c>
      <c r="Y16" s="23">
        <v>13</v>
      </c>
      <c r="Z16" s="23">
        <v>180</v>
      </c>
      <c r="AA16" s="23">
        <v>19</v>
      </c>
      <c r="AB16" s="23">
        <v>1</v>
      </c>
      <c r="AC16" s="23"/>
      <c r="AD16" s="23"/>
      <c r="AE16" s="23">
        <v>194</v>
      </c>
      <c r="AF16" s="23">
        <v>19</v>
      </c>
      <c r="AG16" s="23">
        <v>15</v>
      </c>
      <c r="AH16" s="23">
        <v>4</v>
      </c>
      <c r="AI16" s="406"/>
      <c r="AJ16" s="554" t="s">
        <v>395</v>
      </c>
      <c r="AK16" s="554">
        <f t="shared" si="2"/>
        <v>4</v>
      </c>
      <c r="AL16" s="406">
        <f t="shared" si="3"/>
        <v>0</v>
      </c>
      <c r="AM16" s="406">
        <f t="shared" si="4"/>
        <v>7</v>
      </c>
      <c r="AN16" s="406">
        <f t="shared" si="5"/>
        <v>24</v>
      </c>
      <c r="AO16" s="406">
        <f t="shared" si="6"/>
        <v>199</v>
      </c>
      <c r="AP16" s="406">
        <f t="shared" si="7"/>
        <v>1</v>
      </c>
      <c r="AQ16" s="406">
        <f t="shared" si="8"/>
        <v>194</v>
      </c>
      <c r="AR16" s="406">
        <f t="shared" si="8"/>
        <v>19</v>
      </c>
      <c r="AS16" s="406">
        <f t="shared" si="9"/>
        <v>19</v>
      </c>
      <c r="AT16" s="406"/>
    </row>
    <row r="17" spans="1:48" s="22" customFormat="1" x14ac:dyDescent="0.15">
      <c r="A17" s="729" t="s">
        <v>486</v>
      </c>
      <c r="B17" s="552">
        <f>AK21</f>
        <v>8</v>
      </c>
      <c r="C17" s="552">
        <f t="shared" ref="C17:J17" si="20">AL21</f>
        <v>2</v>
      </c>
      <c r="D17" s="552">
        <f t="shared" si="20"/>
        <v>8</v>
      </c>
      <c r="E17" s="552">
        <f t="shared" si="20"/>
        <v>15</v>
      </c>
      <c r="F17" s="552">
        <f t="shared" si="20"/>
        <v>7</v>
      </c>
      <c r="G17" s="552">
        <f t="shared" si="20"/>
        <v>4</v>
      </c>
      <c r="H17" s="552">
        <f t="shared" si="20"/>
        <v>101</v>
      </c>
      <c r="I17" s="552">
        <f t="shared" si="20"/>
        <v>8</v>
      </c>
      <c r="J17" s="552">
        <f t="shared" si="20"/>
        <v>14</v>
      </c>
      <c r="K17" s="553">
        <f>SUM(B17:J17)</f>
        <v>167</v>
      </c>
      <c r="L17" s="406"/>
      <c r="M17" s="554"/>
      <c r="N17" s="554" t="s">
        <v>396</v>
      </c>
      <c r="O17" s="23">
        <v>2</v>
      </c>
      <c r="P17" s="23">
        <v>2</v>
      </c>
      <c r="Q17" s="23">
        <v>3</v>
      </c>
      <c r="R17" s="23">
        <v>3</v>
      </c>
      <c r="S17" s="23">
        <v>2</v>
      </c>
      <c r="T17" s="23">
        <v>5</v>
      </c>
      <c r="U17" s="23">
        <v>6</v>
      </c>
      <c r="V17" s="23">
        <v>2</v>
      </c>
      <c r="W17" s="23">
        <v>3</v>
      </c>
      <c r="X17" s="23">
        <v>18</v>
      </c>
      <c r="Y17" s="23">
        <v>23</v>
      </c>
      <c r="Z17" s="23">
        <v>50</v>
      </c>
      <c r="AA17" s="23">
        <v>348</v>
      </c>
      <c r="AB17" s="23">
        <v>12</v>
      </c>
      <c r="AC17" s="23">
        <v>4</v>
      </c>
      <c r="AD17" s="23">
        <v>3</v>
      </c>
      <c r="AE17" s="23">
        <v>99</v>
      </c>
      <c r="AF17" s="23">
        <v>130</v>
      </c>
      <c r="AG17" s="23">
        <v>47</v>
      </c>
      <c r="AH17" s="23">
        <v>5</v>
      </c>
      <c r="AI17" s="406"/>
      <c r="AJ17" s="554" t="s">
        <v>396</v>
      </c>
      <c r="AK17" s="554">
        <f t="shared" si="2"/>
        <v>7</v>
      </c>
      <c r="AL17" s="406">
        <f t="shared" si="3"/>
        <v>5</v>
      </c>
      <c r="AM17" s="406">
        <f t="shared" si="4"/>
        <v>16</v>
      </c>
      <c r="AN17" s="406">
        <f t="shared" si="5"/>
        <v>41</v>
      </c>
      <c r="AO17" s="406">
        <f t="shared" si="6"/>
        <v>398</v>
      </c>
      <c r="AP17" s="406">
        <f t="shared" si="7"/>
        <v>19</v>
      </c>
      <c r="AQ17" s="406">
        <f t="shared" si="8"/>
        <v>99</v>
      </c>
      <c r="AR17" s="406">
        <f t="shared" si="8"/>
        <v>130</v>
      </c>
      <c r="AS17" s="406">
        <f t="shared" si="9"/>
        <v>52</v>
      </c>
      <c r="AT17" s="406"/>
    </row>
    <row r="18" spans="1:48" s="22" customFormat="1" x14ac:dyDescent="0.15">
      <c r="A18" s="745"/>
      <c r="B18" s="556">
        <f>B17/B$21</f>
        <v>6.6115702479338841E-3</v>
      </c>
      <c r="C18" s="556">
        <f t="shared" ref="C18:K18" si="21">C17/C$21</f>
        <v>1.594896331738437E-3</v>
      </c>
      <c r="D18" s="556">
        <f t="shared" si="21"/>
        <v>6.0744115413819289E-3</v>
      </c>
      <c r="E18" s="556">
        <f t="shared" si="21"/>
        <v>1.2722646310432569E-2</v>
      </c>
      <c r="F18" s="556">
        <f t="shared" si="21"/>
        <v>6.8292682926829268E-3</v>
      </c>
      <c r="G18" s="556">
        <f t="shared" si="21"/>
        <v>1.2288786482334869E-3</v>
      </c>
      <c r="H18" s="556">
        <f t="shared" si="21"/>
        <v>3.1731071316368209E-2</v>
      </c>
      <c r="I18" s="556">
        <f t="shared" si="21"/>
        <v>5.2287581699346402E-3</v>
      </c>
      <c r="J18" s="556">
        <f t="shared" si="21"/>
        <v>1.0769230769230769E-2</v>
      </c>
      <c r="K18" s="556">
        <f t="shared" si="21"/>
        <v>1.0948665836228938E-2</v>
      </c>
      <c r="L18" s="406"/>
      <c r="M18" s="554"/>
      <c r="N18" s="554" t="s">
        <v>397</v>
      </c>
      <c r="O18" s="23">
        <v>3</v>
      </c>
      <c r="P18" s="23">
        <v>4</v>
      </c>
      <c r="Q18" s="23">
        <v>8</v>
      </c>
      <c r="R18" s="23">
        <v>6</v>
      </c>
      <c r="S18" s="23">
        <v>2</v>
      </c>
      <c r="T18" s="23">
        <v>5</v>
      </c>
      <c r="U18" s="23">
        <v>9</v>
      </c>
      <c r="V18" s="23">
        <v>8</v>
      </c>
      <c r="W18" s="23">
        <v>11</v>
      </c>
      <c r="X18" s="23">
        <v>68</v>
      </c>
      <c r="Y18" s="23">
        <v>18</v>
      </c>
      <c r="Z18" s="23">
        <v>21</v>
      </c>
      <c r="AA18" s="23">
        <v>33</v>
      </c>
      <c r="AB18" s="23">
        <v>647</v>
      </c>
      <c r="AC18" s="23">
        <v>74</v>
      </c>
      <c r="AD18" s="23">
        <v>35</v>
      </c>
      <c r="AE18" s="23">
        <v>378</v>
      </c>
      <c r="AF18" s="23">
        <v>223</v>
      </c>
      <c r="AG18" s="23">
        <v>129</v>
      </c>
      <c r="AH18" s="23">
        <v>11</v>
      </c>
      <c r="AI18" s="406"/>
      <c r="AJ18" s="554" t="s">
        <v>397</v>
      </c>
      <c r="AK18" s="554">
        <f t="shared" si="2"/>
        <v>15</v>
      </c>
      <c r="AL18" s="406">
        <f t="shared" si="3"/>
        <v>8</v>
      </c>
      <c r="AM18" s="406">
        <f t="shared" si="4"/>
        <v>33</v>
      </c>
      <c r="AN18" s="406">
        <f t="shared" si="5"/>
        <v>86</v>
      </c>
      <c r="AO18" s="406">
        <f t="shared" si="6"/>
        <v>54</v>
      </c>
      <c r="AP18" s="406">
        <f t="shared" si="7"/>
        <v>756</v>
      </c>
      <c r="AQ18" s="406">
        <f t="shared" si="8"/>
        <v>378</v>
      </c>
      <c r="AR18" s="406">
        <f t="shared" si="8"/>
        <v>223</v>
      </c>
      <c r="AS18" s="406">
        <f t="shared" si="9"/>
        <v>140</v>
      </c>
      <c r="AT18" s="406"/>
    </row>
    <row r="19" spans="1:48" s="22" customFormat="1" x14ac:dyDescent="0.15">
      <c r="A19" s="729" t="s">
        <v>487</v>
      </c>
      <c r="B19" s="552">
        <f>AK22</f>
        <v>26</v>
      </c>
      <c r="C19" s="552">
        <f t="shared" ref="C19:J19" si="22">AL22</f>
        <v>7</v>
      </c>
      <c r="D19" s="552">
        <f t="shared" si="22"/>
        <v>26</v>
      </c>
      <c r="E19" s="552">
        <f t="shared" si="22"/>
        <v>66</v>
      </c>
      <c r="F19" s="552">
        <f t="shared" si="22"/>
        <v>214</v>
      </c>
      <c r="G19" s="552">
        <f t="shared" si="22"/>
        <v>111</v>
      </c>
      <c r="H19" s="552">
        <f t="shared" si="22"/>
        <v>579</v>
      </c>
      <c r="I19" s="552">
        <f t="shared" si="22"/>
        <v>965</v>
      </c>
      <c r="J19" s="552">
        <f t="shared" si="22"/>
        <v>85</v>
      </c>
      <c r="K19" s="553">
        <f>SUM(B19:J19)</f>
        <v>2079</v>
      </c>
      <c r="L19" s="406"/>
      <c r="M19" s="554"/>
      <c r="N19" s="554" t="s">
        <v>398</v>
      </c>
      <c r="O19" s="23">
        <v>3</v>
      </c>
      <c r="P19" s="23">
        <v>11</v>
      </c>
      <c r="Q19" s="23">
        <v>8</v>
      </c>
      <c r="R19" s="23">
        <v>8</v>
      </c>
      <c r="S19" s="23">
        <v>5</v>
      </c>
      <c r="T19" s="23">
        <v>9</v>
      </c>
      <c r="U19" s="23">
        <v>14</v>
      </c>
      <c r="V19" s="23">
        <v>13</v>
      </c>
      <c r="W19" s="23">
        <v>7</v>
      </c>
      <c r="X19" s="23">
        <v>37</v>
      </c>
      <c r="Y19" s="23">
        <v>21</v>
      </c>
      <c r="Z19" s="23">
        <v>27</v>
      </c>
      <c r="AA19" s="23">
        <v>38</v>
      </c>
      <c r="AB19" s="23">
        <v>143</v>
      </c>
      <c r="AC19" s="23">
        <v>1095</v>
      </c>
      <c r="AD19" s="23">
        <v>167</v>
      </c>
      <c r="AE19" s="23">
        <v>505</v>
      </c>
      <c r="AF19" s="23">
        <v>121</v>
      </c>
      <c r="AG19" s="23">
        <v>142</v>
      </c>
      <c r="AH19" s="23">
        <v>55</v>
      </c>
      <c r="AI19" s="406"/>
      <c r="AJ19" s="554" t="s">
        <v>398</v>
      </c>
      <c r="AK19" s="554">
        <f t="shared" si="2"/>
        <v>22</v>
      </c>
      <c r="AL19" s="406">
        <f t="shared" si="3"/>
        <v>13</v>
      </c>
      <c r="AM19" s="406">
        <f t="shared" si="4"/>
        <v>43</v>
      </c>
      <c r="AN19" s="406">
        <f t="shared" si="5"/>
        <v>58</v>
      </c>
      <c r="AO19" s="406">
        <f t="shared" si="6"/>
        <v>65</v>
      </c>
      <c r="AP19" s="406">
        <f t="shared" si="7"/>
        <v>1405</v>
      </c>
      <c r="AQ19" s="406">
        <f t="shared" si="8"/>
        <v>505</v>
      </c>
      <c r="AR19" s="406">
        <f t="shared" si="8"/>
        <v>121</v>
      </c>
      <c r="AS19" s="406">
        <f t="shared" si="9"/>
        <v>197</v>
      </c>
      <c r="AT19" s="406"/>
    </row>
    <row r="20" spans="1:48" s="22" customFormat="1" x14ac:dyDescent="0.15">
      <c r="A20" s="745"/>
      <c r="B20" s="556">
        <f>B19/B$21</f>
        <v>2.1487603305785124E-2</v>
      </c>
      <c r="C20" s="556">
        <f t="shared" ref="C20:K20" si="23">C19/C$21</f>
        <v>5.5821371610845294E-3</v>
      </c>
      <c r="D20" s="556">
        <f t="shared" si="23"/>
        <v>1.9741837509491267E-2</v>
      </c>
      <c r="E20" s="556">
        <f t="shared" si="23"/>
        <v>5.5979643765903309E-2</v>
      </c>
      <c r="F20" s="556">
        <f t="shared" si="23"/>
        <v>0.20878048780487804</v>
      </c>
      <c r="G20" s="556">
        <f t="shared" si="23"/>
        <v>3.4101382488479264E-2</v>
      </c>
      <c r="H20" s="556">
        <f t="shared" si="23"/>
        <v>0.18190386427898209</v>
      </c>
      <c r="I20" s="556">
        <f t="shared" si="23"/>
        <v>0.63071895424836599</v>
      </c>
      <c r="J20" s="556">
        <f t="shared" si="23"/>
        <v>6.5384615384615388E-2</v>
      </c>
      <c r="K20" s="556">
        <f t="shared" si="23"/>
        <v>0.13630105553005967</v>
      </c>
      <c r="L20" s="406"/>
      <c r="M20" s="554"/>
      <c r="N20" s="554" t="s">
        <v>399</v>
      </c>
      <c r="O20" s="23">
        <v>1</v>
      </c>
      <c r="P20" s="23">
        <v>3</v>
      </c>
      <c r="Q20" s="23">
        <v>1</v>
      </c>
      <c r="R20" s="23">
        <v>3</v>
      </c>
      <c r="S20" s="23">
        <v>4</v>
      </c>
      <c r="T20" s="23">
        <v>14</v>
      </c>
      <c r="U20" s="23">
        <v>9</v>
      </c>
      <c r="V20" s="23">
        <v>17</v>
      </c>
      <c r="W20" s="23">
        <v>2</v>
      </c>
      <c r="X20" s="23">
        <v>11</v>
      </c>
      <c r="Y20" s="23">
        <v>13</v>
      </c>
      <c r="Z20" s="23">
        <v>8</v>
      </c>
      <c r="AA20" s="23">
        <v>10</v>
      </c>
      <c r="AB20" s="23">
        <v>34</v>
      </c>
      <c r="AC20" s="23">
        <v>122</v>
      </c>
      <c r="AD20" s="23">
        <v>771</v>
      </c>
      <c r="AE20" s="23">
        <v>131</v>
      </c>
      <c r="AF20" s="23">
        <v>25</v>
      </c>
      <c r="AG20" s="23">
        <v>92</v>
      </c>
      <c r="AH20" s="23">
        <v>1</v>
      </c>
      <c r="AI20" s="406"/>
      <c r="AJ20" s="554" t="s">
        <v>399</v>
      </c>
      <c r="AK20" s="554">
        <f t="shared" si="2"/>
        <v>5</v>
      </c>
      <c r="AL20" s="406">
        <f t="shared" si="3"/>
        <v>7</v>
      </c>
      <c r="AM20" s="406">
        <f t="shared" si="4"/>
        <v>42</v>
      </c>
      <c r="AN20" s="406">
        <f t="shared" si="5"/>
        <v>24</v>
      </c>
      <c r="AO20" s="406">
        <f t="shared" si="6"/>
        <v>18</v>
      </c>
      <c r="AP20" s="406">
        <f t="shared" si="7"/>
        <v>927</v>
      </c>
      <c r="AQ20" s="406">
        <f t="shared" si="8"/>
        <v>131</v>
      </c>
      <c r="AR20" s="406">
        <f t="shared" si="8"/>
        <v>25</v>
      </c>
      <c r="AS20" s="406">
        <f t="shared" si="9"/>
        <v>93</v>
      </c>
      <c r="AT20" s="406"/>
    </row>
    <row r="21" spans="1:48" s="22" customFormat="1" x14ac:dyDescent="0.15">
      <c r="A21" s="753" t="s">
        <v>11</v>
      </c>
      <c r="B21" s="557">
        <f>SUM(B5,B7,B9,B11,B13,B15,B17,B19)</f>
        <v>1210</v>
      </c>
      <c r="C21" s="557">
        <f t="shared" ref="C21:K22" si="24">SUM(C5,C7,C9,C11,C13,C15,C17,C19)</f>
        <v>1254</v>
      </c>
      <c r="D21" s="557">
        <f t="shared" si="24"/>
        <v>1317</v>
      </c>
      <c r="E21" s="557">
        <f t="shared" si="24"/>
        <v>1179</v>
      </c>
      <c r="F21" s="557">
        <f t="shared" si="24"/>
        <v>1025</v>
      </c>
      <c r="G21" s="557">
        <f t="shared" si="24"/>
        <v>3255</v>
      </c>
      <c r="H21" s="557">
        <f t="shared" si="24"/>
        <v>3183</v>
      </c>
      <c r="I21" s="557">
        <f t="shared" si="24"/>
        <v>1530</v>
      </c>
      <c r="J21" s="557">
        <f t="shared" si="24"/>
        <v>1300</v>
      </c>
      <c r="K21" s="557">
        <f t="shared" si="24"/>
        <v>15253</v>
      </c>
      <c r="L21" s="406"/>
      <c r="M21" s="554"/>
      <c r="N21" s="554" t="s">
        <v>400</v>
      </c>
      <c r="O21" s="23"/>
      <c r="P21" s="23">
        <v>5</v>
      </c>
      <c r="Q21" s="23">
        <v>3</v>
      </c>
      <c r="R21" s="23">
        <v>1</v>
      </c>
      <c r="S21" s="23">
        <v>1</v>
      </c>
      <c r="T21" s="23">
        <v>3</v>
      </c>
      <c r="U21" s="23"/>
      <c r="V21" s="23">
        <v>2</v>
      </c>
      <c r="W21" s="23">
        <v>3</v>
      </c>
      <c r="X21" s="23">
        <v>10</v>
      </c>
      <c r="Y21" s="23">
        <v>5</v>
      </c>
      <c r="Z21" s="23">
        <v>6</v>
      </c>
      <c r="AA21" s="23">
        <v>1</v>
      </c>
      <c r="AB21" s="23">
        <v>1</v>
      </c>
      <c r="AC21" s="23">
        <v>2</v>
      </c>
      <c r="AD21" s="23">
        <v>1</v>
      </c>
      <c r="AE21" s="23">
        <v>101</v>
      </c>
      <c r="AF21" s="23">
        <v>8</v>
      </c>
      <c r="AG21" s="23">
        <v>14</v>
      </c>
      <c r="AH21" s="23"/>
      <c r="AI21" s="406"/>
      <c r="AJ21" s="554" t="s">
        <v>400</v>
      </c>
      <c r="AK21" s="554">
        <f t="shared" si="2"/>
        <v>8</v>
      </c>
      <c r="AL21" s="406">
        <f t="shared" si="3"/>
        <v>2</v>
      </c>
      <c r="AM21" s="406">
        <f t="shared" si="4"/>
        <v>8</v>
      </c>
      <c r="AN21" s="406">
        <f t="shared" si="5"/>
        <v>15</v>
      </c>
      <c r="AO21" s="406">
        <f t="shared" si="6"/>
        <v>7</v>
      </c>
      <c r="AP21" s="406">
        <f t="shared" si="7"/>
        <v>4</v>
      </c>
      <c r="AQ21" s="406">
        <f t="shared" si="8"/>
        <v>101</v>
      </c>
      <c r="AR21" s="406">
        <f t="shared" si="8"/>
        <v>8</v>
      </c>
      <c r="AS21" s="406">
        <f t="shared" si="9"/>
        <v>14</v>
      </c>
      <c r="AT21" s="406"/>
    </row>
    <row r="22" spans="1:48" s="22" customFormat="1" x14ac:dyDescent="0.15">
      <c r="A22" s="754"/>
      <c r="B22" s="558">
        <f>SUM(B6,B8,B10,B12,B14,B16,B18,B20)</f>
        <v>0.99999999999999989</v>
      </c>
      <c r="C22" s="558">
        <f t="shared" si="24"/>
        <v>1</v>
      </c>
      <c r="D22" s="558">
        <f t="shared" si="24"/>
        <v>0.99999999999999978</v>
      </c>
      <c r="E22" s="558">
        <f t="shared" si="24"/>
        <v>1</v>
      </c>
      <c r="F22" s="558">
        <f t="shared" si="24"/>
        <v>0.99999999999999989</v>
      </c>
      <c r="G22" s="558">
        <f t="shared" si="24"/>
        <v>1</v>
      </c>
      <c r="H22" s="558">
        <f t="shared" si="24"/>
        <v>1</v>
      </c>
      <c r="I22" s="558">
        <f t="shared" si="24"/>
        <v>1</v>
      </c>
      <c r="J22" s="558">
        <f t="shared" si="24"/>
        <v>1.0000000000000002</v>
      </c>
      <c r="K22" s="558">
        <f t="shared" si="24"/>
        <v>0.99999999999999989</v>
      </c>
      <c r="L22" s="406"/>
      <c r="M22" s="554"/>
      <c r="N22" s="554" t="s">
        <v>401</v>
      </c>
      <c r="O22" s="23">
        <v>7</v>
      </c>
      <c r="P22" s="23">
        <v>9</v>
      </c>
      <c r="Q22" s="23">
        <v>10</v>
      </c>
      <c r="R22" s="23">
        <v>3</v>
      </c>
      <c r="S22" s="23">
        <v>4</v>
      </c>
      <c r="T22" s="23">
        <v>7</v>
      </c>
      <c r="U22" s="23">
        <v>6</v>
      </c>
      <c r="V22" s="23">
        <v>9</v>
      </c>
      <c r="W22" s="23">
        <v>4</v>
      </c>
      <c r="X22" s="23">
        <v>41</v>
      </c>
      <c r="Y22" s="23">
        <v>25</v>
      </c>
      <c r="Z22" s="23">
        <v>147</v>
      </c>
      <c r="AA22" s="23">
        <v>67</v>
      </c>
      <c r="AB22" s="23">
        <v>73</v>
      </c>
      <c r="AC22" s="23">
        <v>22</v>
      </c>
      <c r="AD22" s="23">
        <v>16</v>
      </c>
      <c r="AE22" s="23">
        <v>579</v>
      </c>
      <c r="AF22" s="23">
        <v>965</v>
      </c>
      <c r="AG22" s="23">
        <v>69</v>
      </c>
      <c r="AH22" s="23">
        <v>16</v>
      </c>
      <c r="AI22" s="406"/>
      <c r="AJ22" s="554" t="s">
        <v>401</v>
      </c>
      <c r="AK22" s="554">
        <f t="shared" si="2"/>
        <v>26</v>
      </c>
      <c r="AL22" s="406">
        <f t="shared" si="3"/>
        <v>7</v>
      </c>
      <c r="AM22" s="406">
        <f t="shared" si="4"/>
        <v>26</v>
      </c>
      <c r="AN22" s="406">
        <f t="shared" si="5"/>
        <v>66</v>
      </c>
      <c r="AO22" s="406">
        <f t="shared" si="6"/>
        <v>214</v>
      </c>
      <c r="AP22" s="406">
        <f t="shared" si="7"/>
        <v>111</v>
      </c>
      <c r="AQ22" s="406">
        <f t="shared" si="8"/>
        <v>579</v>
      </c>
      <c r="AR22" s="406">
        <f t="shared" si="8"/>
        <v>965</v>
      </c>
      <c r="AS22" s="406">
        <f t="shared" si="9"/>
        <v>85</v>
      </c>
      <c r="AT22" s="406"/>
    </row>
    <row r="23" spans="1:48" x14ac:dyDescent="0.15">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12"/>
      <c r="AK23" s="412"/>
      <c r="AL23" s="43"/>
      <c r="AM23" s="43"/>
      <c r="AN23" s="43"/>
      <c r="AO23" s="43"/>
      <c r="AP23" s="43"/>
      <c r="AQ23" s="43"/>
      <c r="AR23" s="43"/>
      <c r="AS23" s="43"/>
      <c r="AT23" s="43"/>
    </row>
    <row r="24" spans="1:48" s="3" customFormat="1" ht="19.5" x14ac:dyDescent="0.15">
      <c r="A24" s="2" t="s">
        <v>488</v>
      </c>
      <c r="L24" s="559"/>
      <c r="M24" s="559"/>
      <c r="N24" s="559"/>
      <c r="O24" s="559"/>
      <c r="P24" s="559"/>
      <c r="Q24" s="559"/>
      <c r="R24" s="559"/>
      <c r="S24" s="559"/>
      <c r="T24" s="559"/>
      <c r="U24" s="559"/>
      <c r="V24" s="559"/>
      <c r="W24" s="559"/>
      <c r="X24" s="559"/>
      <c r="Y24" s="559"/>
      <c r="Z24" s="559"/>
      <c r="AA24" s="559"/>
      <c r="AB24" s="559"/>
      <c r="AC24" s="559"/>
      <c r="AD24" s="559"/>
      <c r="AE24" s="559"/>
      <c r="AF24" s="559"/>
      <c r="AG24" s="559"/>
      <c r="AH24" s="559"/>
      <c r="AI24" s="559"/>
      <c r="AJ24" s="559"/>
      <c r="AK24" s="559"/>
      <c r="AL24" s="559"/>
      <c r="AM24" s="559"/>
      <c r="AN24" s="559"/>
      <c r="AO24" s="559"/>
      <c r="AP24" s="559"/>
      <c r="AQ24" s="559"/>
      <c r="AR24" s="559"/>
      <c r="AS24" s="559"/>
      <c r="AT24" s="559"/>
    </row>
    <row r="25" spans="1:48" x14ac:dyDescent="0.15">
      <c r="A25" s="4"/>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row>
    <row r="26" spans="1:48" x14ac:dyDescent="0.15">
      <c r="A26" s="758" t="s">
        <v>474</v>
      </c>
      <c r="B26" s="755" t="s">
        <v>475</v>
      </c>
      <c r="C26" s="756"/>
      <c r="D26" s="756"/>
      <c r="E26" s="756"/>
      <c r="F26" s="756"/>
      <c r="G26" s="756"/>
      <c r="H26" s="756"/>
      <c r="I26" s="756"/>
      <c r="J26" s="756"/>
      <c r="K26" s="757"/>
      <c r="AI26" s="9"/>
      <c r="AJ26" s="549" t="s">
        <v>476</v>
      </c>
      <c r="AK26" s="549"/>
    </row>
    <row r="27" spans="1:48" ht="33" x14ac:dyDescent="0.15">
      <c r="A27" s="759"/>
      <c r="B27" s="550" t="s">
        <v>376</v>
      </c>
      <c r="C27" s="550" t="s">
        <v>377</v>
      </c>
      <c r="D27" s="550" t="s">
        <v>378</v>
      </c>
      <c r="E27" s="550" t="s">
        <v>379</v>
      </c>
      <c r="F27" s="550" t="s">
        <v>380</v>
      </c>
      <c r="G27" s="550" t="s">
        <v>381</v>
      </c>
      <c r="H27" s="550" t="s">
        <v>382</v>
      </c>
      <c r="I27" s="550" t="s">
        <v>383</v>
      </c>
      <c r="J27" s="551" t="s">
        <v>463</v>
      </c>
      <c r="K27" s="550" t="s">
        <v>62</v>
      </c>
      <c r="N27" s="34" t="s">
        <v>370</v>
      </c>
      <c r="O27" s="43" t="s">
        <v>384</v>
      </c>
      <c r="P27" s="43" t="s">
        <v>385</v>
      </c>
      <c r="Q27" s="43" t="s">
        <v>386</v>
      </c>
      <c r="R27" s="43" t="s">
        <v>387</v>
      </c>
      <c r="S27" s="43" t="s">
        <v>388</v>
      </c>
      <c r="T27" s="43" t="s">
        <v>389</v>
      </c>
      <c r="U27" s="43" t="s">
        <v>390</v>
      </c>
      <c r="V27" s="43" t="s">
        <v>391</v>
      </c>
      <c r="W27" s="43" t="s">
        <v>392</v>
      </c>
      <c r="X27" s="43" t="s">
        <v>393</v>
      </c>
      <c r="Y27" s="43" t="s">
        <v>394</v>
      </c>
      <c r="Z27" s="43" t="s">
        <v>395</v>
      </c>
      <c r="AA27" s="43" t="s">
        <v>396</v>
      </c>
      <c r="AB27" s="43" t="s">
        <v>397</v>
      </c>
      <c r="AC27" s="43" t="s">
        <v>398</v>
      </c>
      <c r="AD27" s="43" t="s">
        <v>399</v>
      </c>
      <c r="AE27" s="43" t="s">
        <v>400</v>
      </c>
      <c r="AF27" s="43" t="s">
        <v>401</v>
      </c>
      <c r="AG27" s="43" t="s">
        <v>464</v>
      </c>
      <c r="AH27" s="43" t="s">
        <v>591</v>
      </c>
      <c r="AI27" s="43"/>
      <c r="AJ27" s="43"/>
      <c r="AK27" s="43" t="s">
        <v>477</v>
      </c>
      <c r="AL27" s="43" t="s">
        <v>478</v>
      </c>
      <c r="AM27" s="43" t="s">
        <v>479</v>
      </c>
      <c r="AN27" s="43" t="s">
        <v>480</v>
      </c>
      <c r="AO27" s="43" t="s">
        <v>481</v>
      </c>
      <c r="AP27" s="43" t="s">
        <v>482</v>
      </c>
      <c r="AQ27" s="43" t="s">
        <v>483</v>
      </c>
      <c r="AR27" s="43" t="s">
        <v>484</v>
      </c>
      <c r="AS27" s="43" t="s">
        <v>485</v>
      </c>
      <c r="AT27" s="43"/>
      <c r="AU27" s="43"/>
      <c r="AV27" s="43"/>
    </row>
    <row r="28" spans="1:48" s="22" customFormat="1" x14ac:dyDescent="0.15">
      <c r="A28" s="729" t="s">
        <v>376</v>
      </c>
      <c r="B28" s="552">
        <f>SUM(AK28:AK30)</f>
        <v>512</v>
      </c>
      <c r="C28" s="552">
        <f t="shared" ref="C28:J28" si="25">SUM(AL28:AL30)</f>
        <v>35</v>
      </c>
      <c r="D28" s="552">
        <f t="shared" si="25"/>
        <v>23</v>
      </c>
      <c r="E28" s="552">
        <f t="shared" si="25"/>
        <v>6</v>
      </c>
      <c r="F28" s="552">
        <f t="shared" si="25"/>
        <v>6</v>
      </c>
      <c r="G28" s="552">
        <f t="shared" si="25"/>
        <v>4</v>
      </c>
      <c r="H28" s="552">
        <f t="shared" si="25"/>
        <v>244</v>
      </c>
      <c r="I28" s="552">
        <f t="shared" si="25"/>
        <v>6</v>
      </c>
      <c r="J28" s="552">
        <f t="shared" si="25"/>
        <v>193</v>
      </c>
      <c r="K28" s="553">
        <f>SUM(B28:J28)</f>
        <v>1029</v>
      </c>
      <c r="M28" s="554"/>
      <c r="N28" s="554" t="s">
        <v>384</v>
      </c>
      <c r="O28" s="23">
        <v>136</v>
      </c>
      <c r="P28" s="23">
        <v>30</v>
      </c>
      <c r="Q28" s="23">
        <v>30</v>
      </c>
      <c r="R28" s="23">
        <v>10</v>
      </c>
      <c r="S28" s="23">
        <v>5</v>
      </c>
      <c r="T28" s="23">
        <v>3</v>
      </c>
      <c r="U28" s="23">
        <v>1</v>
      </c>
      <c r="V28" s="23">
        <v>4</v>
      </c>
      <c r="W28" s="23"/>
      <c r="X28" s="23">
        <v>1</v>
      </c>
      <c r="Y28" s="23">
        <v>1</v>
      </c>
      <c r="Z28" s="23">
        <v>1</v>
      </c>
      <c r="AA28" s="23"/>
      <c r="AB28" s="23"/>
      <c r="AC28" s="23"/>
      <c r="AD28" s="23">
        <v>3</v>
      </c>
      <c r="AE28" s="23">
        <v>48</v>
      </c>
      <c r="AF28" s="23">
        <v>2</v>
      </c>
      <c r="AG28" s="23">
        <v>86</v>
      </c>
      <c r="AH28" s="23">
        <v>5</v>
      </c>
      <c r="AI28" s="554"/>
      <c r="AJ28" s="554" t="s">
        <v>384</v>
      </c>
      <c r="AK28" s="406">
        <f>SUM(O28:Q28)</f>
        <v>196</v>
      </c>
      <c r="AL28" s="406">
        <f>SUM(R28:S28)</f>
        <v>15</v>
      </c>
      <c r="AM28" s="406">
        <f>SUM(T28:W28)</f>
        <v>8</v>
      </c>
      <c r="AN28" s="406">
        <f>SUM(X28:Y28)</f>
        <v>2</v>
      </c>
      <c r="AO28" s="406">
        <f>SUM(Z28:AA28)</f>
        <v>1</v>
      </c>
      <c r="AP28" s="406">
        <f>SUM(AB28:AD28)</f>
        <v>3</v>
      </c>
      <c r="AQ28" s="406">
        <f>AE28</f>
        <v>48</v>
      </c>
      <c r="AR28" s="406">
        <f>AF28</f>
        <v>2</v>
      </c>
      <c r="AS28" s="406">
        <f>SUM(AG28:AH28)</f>
        <v>91</v>
      </c>
    </row>
    <row r="29" spans="1:48" s="22" customFormat="1" x14ac:dyDescent="0.15">
      <c r="A29" s="745"/>
      <c r="B29" s="556">
        <f>B28/B$44</f>
        <v>0.7191011235955056</v>
      </c>
      <c r="C29" s="556">
        <f t="shared" ref="C29:K29" si="26">C28/C$44</f>
        <v>4.7748976807639835E-2</v>
      </c>
      <c r="D29" s="556">
        <f t="shared" si="26"/>
        <v>3.1680440771349863E-2</v>
      </c>
      <c r="E29" s="556">
        <f t="shared" si="26"/>
        <v>9.852216748768473E-3</v>
      </c>
      <c r="F29" s="556">
        <f t="shared" si="26"/>
        <v>1.0118043844856661E-2</v>
      </c>
      <c r="G29" s="556">
        <f t="shared" si="26"/>
        <v>1.8365472910927456E-3</v>
      </c>
      <c r="H29" s="556">
        <f t="shared" si="26"/>
        <v>0.13871517907902217</v>
      </c>
      <c r="I29" s="556">
        <f t="shared" si="26"/>
        <v>6.6740823136818691E-3</v>
      </c>
      <c r="J29" s="556">
        <f t="shared" si="26"/>
        <v>0.22626025791324736</v>
      </c>
      <c r="K29" s="556">
        <f t="shared" si="26"/>
        <v>0.11355109247406754</v>
      </c>
      <c r="M29" s="554"/>
      <c r="N29" s="554" t="s">
        <v>385</v>
      </c>
      <c r="O29" s="23">
        <v>21</v>
      </c>
      <c r="P29" s="23">
        <v>141</v>
      </c>
      <c r="Q29" s="23">
        <v>38</v>
      </c>
      <c r="R29" s="23">
        <v>9</v>
      </c>
      <c r="S29" s="23">
        <v>4</v>
      </c>
      <c r="T29" s="23">
        <v>4</v>
      </c>
      <c r="U29" s="23">
        <v>1</v>
      </c>
      <c r="V29" s="23">
        <v>4</v>
      </c>
      <c r="W29" s="23"/>
      <c r="X29" s="23">
        <v>3</v>
      </c>
      <c r="Y29" s="23"/>
      <c r="Z29" s="23">
        <v>1</v>
      </c>
      <c r="AA29" s="23">
        <v>1</v>
      </c>
      <c r="AB29" s="23"/>
      <c r="AC29" s="23"/>
      <c r="AD29" s="23"/>
      <c r="AE29" s="23">
        <v>133</v>
      </c>
      <c r="AF29" s="23">
        <v>2</v>
      </c>
      <c r="AG29" s="23">
        <v>62</v>
      </c>
      <c r="AH29" s="23">
        <v>1</v>
      </c>
      <c r="AI29" s="554"/>
      <c r="AJ29" s="554" t="s">
        <v>385</v>
      </c>
      <c r="AK29" s="406">
        <f t="shared" ref="AK29:AK43" si="27">SUM(O29:Q29)</f>
        <v>200</v>
      </c>
      <c r="AL29" s="406">
        <f t="shared" ref="AL29:AL43" si="28">SUM(R29:S29)</f>
        <v>13</v>
      </c>
      <c r="AM29" s="406">
        <f t="shared" ref="AM29:AM43" si="29">SUM(T29:W29)</f>
        <v>9</v>
      </c>
      <c r="AN29" s="406">
        <f t="shared" ref="AN29:AN43" si="30">SUM(X29:Y29)</f>
        <v>3</v>
      </c>
      <c r="AO29" s="406">
        <f t="shared" ref="AO29:AO43" si="31">SUM(Z29:AA29)</f>
        <v>2</v>
      </c>
      <c r="AP29" s="406">
        <f t="shared" ref="AP29:AP43" si="32">SUM(AB29:AD29)</f>
        <v>0</v>
      </c>
      <c r="AQ29" s="406">
        <f t="shared" ref="AQ29:AR43" si="33">AE29</f>
        <v>133</v>
      </c>
      <c r="AR29" s="406">
        <f t="shared" si="33"/>
        <v>2</v>
      </c>
      <c r="AS29" s="406">
        <f t="shared" ref="AS29:AS43" si="34">SUM(AG29:AH29)</f>
        <v>63</v>
      </c>
    </row>
    <row r="30" spans="1:48" s="22" customFormat="1" x14ac:dyDescent="0.15">
      <c r="A30" s="729" t="s">
        <v>377</v>
      </c>
      <c r="B30" s="552">
        <f>SUM(AK31:AK32)</f>
        <v>121</v>
      </c>
      <c r="C30" s="552">
        <f t="shared" ref="C30:J30" si="35">SUM(AL31:AL32)</f>
        <v>655</v>
      </c>
      <c r="D30" s="552">
        <f t="shared" si="35"/>
        <v>85</v>
      </c>
      <c r="E30" s="552">
        <f t="shared" si="35"/>
        <v>19</v>
      </c>
      <c r="F30" s="552">
        <f t="shared" si="35"/>
        <v>4</v>
      </c>
      <c r="G30" s="552">
        <f t="shared" si="35"/>
        <v>4</v>
      </c>
      <c r="H30" s="552">
        <f t="shared" si="35"/>
        <v>148</v>
      </c>
      <c r="I30" s="552">
        <f t="shared" si="35"/>
        <v>8</v>
      </c>
      <c r="J30" s="552">
        <f t="shared" si="35"/>
        <v>128</v>
      </c>
      <c r="K30" s="553">
        <f>SUM(B30:J30)</f>
        <v>1172</v>
      </c>
      <c r="M30" s="554"/>
      <c r="N30" s="554" t="s">
        <v>386</v>
      </c>
      <c r="O30" s="23">
        <v>7</v>
      </c>
      <c r="P30" s="23">
        <v>12</v>
      </c>
      <c r="Q30" s="23">
        <v>97</v>
      </c>
      <c r="R30" s="23">
        <v>7</v>
      </c>
      <c r="S30" s="23"/>
      <c r="T30" s="23">
        <v>2</v>
      </c>
      <c r="U30" s="23">
        <v>3</v>
      </c>
      <c r="V30" s="23">
        <v>1</v>
      </c>
      <c r="W30" s="23"/>
      <c r="X30" s="23"/>
      <c r="Y30" s="23">
        <v>1</v>
      </c>
      <c r="Z30" s="23">
        <v>1</v>
      </c>
      <c r="AA30" s="23">
        <v>2</v>
      </c>
      <c r="AB30" s="23"/>
      <c r="AC30" s="23">
        <v>1</v>
      </c>
      <c r="AD30" s="23"/>
      <c r="AE30" s="23">
        <v>63</v>
      </c>
      <c r="AF30" s="23">
        <v>2</v>
      </c>
      <c r="AG30" s="23">
        <v>39</v>
      </c>
      <c r="AH30" s="23"/>
      <c r="AI30" s="554"/>
      <c r="AJ30" s="554" t="s">
        <v>386</v>
      </c>
      <c r="AK30" s="406">
        <f t="shared" si="27"/>
        <v>116</v>
      </c>
      <c r="AL30" s="406">
        <f t="shared" si="28"/>
        <v>7</v>
      </c>
      <c r="AM30" s="406">
        <f t="shared" si="29"/>
        <v>6</v>
      </c>
      <c r="AN30" s="406">
        <f t="shared" si="30"/>
        <v>1</v>
      </c>
      <c r="AO30" s="406">
        <f t="shared" si="31"/>
        <v>3</v>
      </c>
      <c r="AP30" s="406">
        <f t="shared" si="32"/>
        <v>1</v>
      </c>
      <c r="AQ30" s="406">
        <f t="shared" si="33"/>
        <v>63</v>
      </c>
      <c r="AR30" s="406">
        <f t="shared" si="33"/>
        <v>2</v>
      </c>
      <c r="AS30" s="406">
        <f t="shared" si="34"/>
        <v>39</v>
      </c>
    </row>
    <row r="31" spans="1:48" s="22" customFormat="1" x14ac:dyDescent="0.15">
      <c r="A31" s="745"/>
      <c r="B31" s="556">
        <f>B30/B$44</f>
        <v>0.1699438202247191</v>
      </c>
      <c r="C31" s="556">
        <f t="shared" ref="C31:K31" si="36">C30/C$44</f>
        <v>0.89358799454297411</v>
      </c>
      <c r="D31" s="556">
        <f t="shared" si="36"/>
        <v>0.11707988980716254</v>
      </c>
      <c r="E31" s="556">
        <f t="shared" si="36"/>
        <v>3.1198686371100164E-2</v>
      </c>
      <c r="F31" s="556">
        <f t="shared" si="36"/>
        <v>6.7453625632377737E-3</v>
      </c>
      <c r="G31" s="556">
        <f t="shared" si="36"/>
        <v>1.8365472910927456E-3</v>
      </c>
      <c r="H31" s="556">
        <f t="shared" si="36"/>
        <v>8.4138715179079018E-2</v>
      </c>
      <c r="I31" s="556">
        <f t="shared" si="36"/>
        <v>8.8987764182424916E-3</v>
      </c>
      <c r="J31" s="556">
        <f t="shared" si="36"/>
        <v>0.15005861664712777</v>
      </c>
      <c r="K31" s="556">
        <f t="shared" si="36"/>
        <v>0.12933127344956963</v>
      </c>
      <c r="M31" s="554"/>
      <c r="N31" s="554" t="s">
        <v>387</v>
      </c>
      <c r="O31" s="23">
        <v>27</v>
      </c>
      <c r="P31" s="23">
        <v>21</v>
      </c>
      <c r="Q31" s="23">
        <v>49</v>
      </c>
      <c r="R31" s="23">
        <v>337</v>
      </c>
      <c r="S31" s="23">
        <v>151</v>
      </c>
      <c r="T31" s="23">
        <v>30</v>
      </c>
      <c r="U31" s="23">
        <v>7</v>
      </c>
      <c r="V31" s="23">
        <v>18</v>
      </c>
      <c r="W31" s="23">
        <v>9</v>
      </c>
      <c r="X31" s="23">
        <v>9</v>
      </c>
      <c r="Y31" s="23">
        <v>6</v>
      </c>
      <c r="Z31" s="23">
        <v>1</v>
      </c>
      <c r="AA31" s="23">
        <v>2</v>
      </c>
      <c r="AB31" s="23">
        <v>1</v>
      </c>
      <c r="AC31" s="23">
        <v>1</v>
      </c>
      <c r="AD31" s="23">
        <v>1</v>
      </c>
      <c r="AE31" s="23">
        <v>115</v>
      </c>
      <c r="AF31" s="23">
        <v>8</v>
      </c>
      <c r="AG31" s="23">
        <v>93</v>
      </c>
      <c r="AH31" s="23">
        <v>1</v>
      </c>
      <c r="AI31" s="554"/>
      <c r="AJ31" s="554" t="s">
        <v>387</v>
      </c>
      <c r="AK31" s="406">
        <f t="shared" si="27"/>
        <v>97</v>
      </c>
      <c r="AL31" s="406">
        <f t="shared" si="28"/>
        <v>488</v>
      </c>
      <c r="AM31" s="406">
        <f t="shared" si="29"/>
        <v>64</v>
      </c>
      <c r="AN31" s="406">
        <f t="shared" si="30"/>
        <v>15</v>
      </c>
      <c r="AO31" s="406">
        <f t="shared" si="31"/>
        <v>3</v>
      </c>
      <c r="AP31" s="406">
        <f t="shared" si="32"/>
        <v>3</v>
      </c>
      <c r="AQ31" s="406">
        <f t="shared" si="33"/>
        <v>115</v>
      </c>
      <c r="AR31" s="406">
        <f t="shared" si="33"/>
        <v>8</v>
      </c>
      <c r="AS31" s="406">
        <f t="shared" si="34"/>
        <v>94</v>
      </c>
    </row>
    <row r="32" spans="1:48" s="22" customFormat="1" x14ac:dyDescent="0.15">
      <c r="A32" s="729" t="s">
        <v>378</v>
      </c>
      <c r="B32" s="552">
        <f>SUM(AK33:AK36)</f>
        <v>22</v>
      </c>
      <c r="C32" s="552">
        <f t="shared" ref="C32:J32" si="37">SUM(AL33:AL36)</f>
        <v>17</v>
      </c>
      <c r="D32" s="552">
        <f t="shared" si="37"/>
        <v>476</v>
      </c>
      <c r="E32" s="552">
        <f t="shared" si="37"/>
        <v>26</v>
      </c>
      <c r="F32" s="552">
        <f t="shared" si="37"/>
        <v>3</v>
      </c>
      <c r="G32" s="552">
        <f t="shared" si="37"/>
        <v>7</v>
      </c>
      <c r="H32" s="552">
        <f t="shared" si="37"/>
        <v>107</v>
      </c>
      <c r="I32" s="552">
        <f t="shared" si="37"/>
        <v>5</v>
      </c>
      <c r="J32" s="552">
        <f t="shared" si="37"/>
        <v>92</v>
      </c>
      <c r="K32" s="553">
        <f>SUM(B32:J32)</f>
        <v>755</v>
      </c>
      <c r="M32" s="554"/>
      <c r="N32" s="554" t="s">
        <v>388</v>
      </c>
      <c r="O32" s="23">
        <v>3</v>
      </c>
      <c r="P32" s="23">
        <v>3</v>
      </c>
      <c r="Q32" s="23">
        <v>18</v>
      </c>
      <c r="R32" s="23">
        <v>45</v>
      </c>
      <c r="S32" s="23">
        <v>122</v>
      </c>
      <c r="T32" s="23">
        <v>10</v>
      </c>
      <c r="U32" s="23">
        <v>2</v>
      </c>
      <c r="V32" s="23">
        <v>5</v>
      </c>
      <c r="W32" s="23">
        <v>4</v>
      </c>
      <c r="X32" s="23">
        <v>3</v>
      </c>
      <c r="Y32" s="23">
        <v>1</v>
      </c>
      <c r="Z32" s="23">
        <v>1</v>
      </c>
      <c r="AA32" s="23"/>
      <c r="AB32" s="23">
        <v>1</v>
      </c>
      <c r="AC32" s="23"/>
      <c r="AD32" s="23"/>
      <c r="AE32" s="23">
        <v>33</v>
      </c>
      <c r="AF32" s="23"/>
      <c r="AG32" s="23">
        <v>34</v>
      </c>
      <c r="AH32" s="23"/>
      <c r="AI32" s="554"/>
      <c r="AJ32" s="554" t="s">
        <v>388</v>
      </c>
      <c r="AK32" s="406">
        <f t="shared" si="27"/>
        <v>24</v>
      </c>
      <c r="AL32" s="406">
        <f t="shared" si="28"/>
        <v>167</v>
      </c>
      <c r="AM32" s="406">
        <f t="shared" si="29"/>
        <v>21</v>
      </c>
      <c r="AN32" s="406">
        <f t="shared" si="30"/>
        <v>4</v>
      </c>
      <c r="AO32" s="406">
        <f t="shared" si="31"/>
        <v>1</v>
      </c>
      <c r="AP32" s="406">
        <f t="shared" si="32"/>
        <v>1</v>
      </c>
      <c r="AQ32" s="406">
        <f t="shared" si="33"/>
        <v>33</v>
      </c>
      <c r="AR32" s="406">
        <f t="shared" si="33"/>
        <v>0</v>
      </c>
      <c r="AS32" s="406">
        <f t="shared" si="34"/>
        <v>34</v>
      </c>
    </row>
    <row r="33" spans="1:45" s="22" customFormat="1" x14ac:dyDescent="0.15">
      <c r="A33" s="745"/>
      <c r="B33" s="556">
        <f>B32/B$44</f>
        <v>3.0898876404494381E-2</v>
      </c>
      <c r="C33" s="556">
        <f t="shared" ref="C33:K33" si="38">C32/C$44</f>
        <v>2.3192360163710776E-2</v>
      </c>
      <c r="D33" s="556">
        <f t="shared" si="38"/>
        <v>0.65564738292011016</v>
      </c>
      <c r="E33" s="556">
        <f t="shared" si="38"/>
        <v>4.2692939244663386E-2</v>
      </c>
      <c r="F33" s="556">
        <f t="shared" si="38"/>
        <v>5.0590219224283303E-3</v>
      </c>
      <c r="G33" s="556">
        <f t="shared" si="38"/>
        <v>3.2139577594123047E-3</v>
      </c>
      <c r="H33" s="556">
        <f t="shared" si="38"/>
        <v>6.0830017055144972E-2</v>
      </c>
      <c r="I33" s="556">
        <f t="shared" si="38"/>
        <v>5.5617352614015575E-3</v>
      </c>
      <c r="J33" s="556">
        <f t="shared" si="38"/>
        <v>0.10785463071512309</v>
      </c>
      <c r="K33" s="556">
        <f t="shared" si="38"/>
        <v>8.331494151401457E-2</v>
      </c>
      <c r="M33" s="554"/>
      <c r="N33" s="554" t="s">
        <v>389</v>
      </c>
      <c r="O33" s="23">
        <v>2</v>
      </c>
      <c r="P33" s="23">
        <v>10</v>
      </c>
      <c r="Q33" s="23">
        <v>7</v>
      </c>
      <c r="R33" s="23">
        <v>6</v>
      </c>
      <c r="S33" s="23">
        <v>10</v>
      </c>
      <c r="T33" s="23">
        <v>140</v>
      </c>
      <c r="U33" s="23">
        <v>36</v>
      </c>
      <c r="V33" s="23">
        <v>28</v>
      </c>
      <c r="W33" s="23">
        <v>27</v>
      </c>
      <c r="X33" s="23">
        <v>12</v>
      </c>
      <c r="Y33" s="23">
        <v>4</v>
      </c>
      <c r="Z33" s="23">
        <v>1</v>
      </c>
      <c r="AA33" s="23"/>
      <c r="AB33" s="23">
        <v>2</v>
      </c>
      <c r="AC33" s="23"/>
      <c r="AD33" s="23">
        <v>2</v>
      </c>
      <c r="AE33" s="23">
        <v>49</v>
      </c>
      <c r="AF33" s="23">
        <v>5</v>
      </c>
      <c r="AG33" s="23">
        <v>54</v>
      </c>
      <c r="AH33" s="23">
        <v>2</v>
      </c>
      <c r="AI33" s="554"/>
      <c r="AJ33" s="554" t="s">
        <v>389</v>
      </c>
      <c r="AK33" s="406">
        <f t="shared" si="27"/>
        <v>19</v>
      </c>
      <c r="AL33" s="406">
        <f t="shared" si="28"/>
        <v>16</v>
      </c>
      <c r="AM33" s="406">
        <f t="shared" si="29"/>
        <v>231</v>
      </c>
      <c r="AN33" s="406">
        <f t="shared" si="30"/>
        <v>16</v>
      </c>
      <c r="AO33" s="406">
        <f t="shared" si="31"/>
        <v>1</v>
      </c>
      <c r="AP33" s="406">
        <f t="shared" si="32"/>
        <v>4</v>
      </c>
      <c r="AQ33" s="406">
        <f t="shared" si="33"/>
        <v>49</v>
      </c>
      <c r="AR33" s="406">
        <f t="shared" si="33"/>
        <v>5</v>
      </c>
      <c r="AS33" s="406">
        <f t="shared" si="34"/>
        <v>56</v>
      </c>
    </row>
    <row r="34" spans="1:45" s="22" customFormat="1" x14ac:dyDescent="0.15">
      <c r="A34" s="729" t="s">
        <v>379</v>
      </c>
      <c r="B34" s="552">
        <f>SUM(AK37:AK38)</f>
        <v>9</v>
      </c>
      <c r="C34" s="552">
        <f t="shared" ref="C34:J34" si="39">SUM(AL37:AL38)</f>
        <v>1</v>
      </c>
      <c r="D34" s="552">
        <f t="shared" si="39"/>
        <v>20</v>
      </c>
      <c r="E34" s="552">
        <f t="shared" si="39"/>
        <v>376</v>
      </c>
      <c r="F34" s="552">
        <f t="shared" si="39"/>
        <v>11</v>
      </c>
      <c r="G34" s="552">
        <f t="shared" si="39"/>
        <v>3</v>
      </c>
      <c r="H34" s="552">
        <f t="shared" si="39"/>
        <v>157</v>
      </c>
      <c r="I34" s="552">
        <f t="shared" si="39"/>
        <v>6</v>
      </c>
      <c r="J34" s="552">
        <f t="shared" si="39"/>
        <v>24</v>
      </c>
      <c r="K34" s="553">
        <f>SUM(B34:J34)</f>
        <v>607</v>
      </c>
      <c r="M34" s="554"/>
      <c r="N34" s="554" t="s">
        <v>390</v>
      </c>
      <c r="O34" s="23">
        <v>1</v>
      </c>
      <c r="P34" s="23"/>
      <c r="Q34" s="23"/>
      <c r="R34" s="23"/>
      <c r="S34" s="23"/>
      <c r="T34" s="23">
        <v>7</v>
      </c>
      <c r="U34" s="23">
        <v>44</v>
      </c>
      <c r="V34" s="23">
        <v>14</v>
      </c>
      <c r="W34" s="23">
        <v>16</v>
      </c>
      <c r="X34" s="23">
        <v>2</v>
      </c>
      <c r="Y34" s="23">
        <v>1</v>
      </c>
      <c r="Z34" s="23"/>
      <c r="AA34" s="23"/>
      <c r="AB34" s="23"/>
      <c r="AC34" s="23">
        <v>2</v>
      </c>
      <c r="AD34" s="23">
        <v>1</v>
      </c>
      <c r="AE34" s="23">
        <v>12</v>
      </c>
      <c r="AF34" s="23"/>
      <c r="AG34" s="23">
        <v>6</v>
      </c>
      <c r="AH34" s="23">
        <v>1</v>
      </c>
      <c r="AI34" s="554"/>
      <c r="AJ34" s="554" t="s">
        <v>390</v>
      </c>
      <c r="AK34" s="406">
        <f t="shared" si="27"/>
        <v>1</v>
      </c>
      <c r="AL34" s="406">
        <f t="shared" si="28"/>
        <v>0</v>
      </c>
      <c r="AM34" s="406">
        <f t="shared" si="29"/>
        <v>81</v>
      </c>
      <c r="AN34" s="406">
        <f t="shared" si="30"/>
        <v>3</v>
      </c>
      <c r="AO34" s="406">
        <f t="shared" si="31"/>
        <v>0</v>
      </c>
      <c r="AP34" s="406">
        <f t="shared" si="32"/>
        <v>3</v>
      </c>
      <c r="AQ34" s="406">
        <f t="shared" si="33"/>
        <v>12</v>
      </c>
      <c r="AR34" s="406">
        <f t="shared" si="33"/>
        <v>0</v>
      </c>
      <c r="AS34" s="406">
        <f t="shared" si="34"/>
        <v>7</v>
      </c>
    </row>
    <row r="35" spans="1:45" s="22" customFormat="1" x14ac:dyDescent="0.15">
      <c r="A35" s="745"/>
      <c r="B35" s="556">
        <f>B34/B$44</f>
        <v>1.2640449438202247E-2</v>
      </c>
      <c r="C35" s="556">
        <f t="shared" ref="C35:K35" si="40">C34/C$44</f>
        <v>1.364256480218281E-3</v>
      </c>
      <c r="D35" s="556">
        <f t="shared" si="40"/>
        <v>2.7548209366391185E-2</v>
      </c>
      <c r="E35" s="556">
        <f t="shared" si="40"/>
        <v>0.61740558292282433</v>
      </c>
      <c r="F35" s="556">
        <f t="shared" si="40"/>
        <v>1.8549747048903879E-2</v>
      </c>
      <c r="G35" s="556">
        <f t="shared" si="40"/>
        <v>1.3774104683195593E-3</v>
      </c>
      <c r="H35" s="556">
        <f t="shared" si="40"/>
        <v>8.9255258669698689E-2</v>
      </c>
      <c r="I35" s="556">
        <f t="shared" si="40"/>
        <v>6.6740823136818691E-3</v>
      </c>
      <c r="J35" s="556">
        <f t="shared" si="40"/>
        <v>2.8135990621336461E-2</v>
      </c>
      <c r="K35" s="556">
        <f t="shared" si="40"/>
        <v>6.698300595894946E-2</v>
      </c>
      <c r="M35" s="554"/>
      <c r="N35" s="554" t="s">
        <v>391</v>
      </c>
      <c r="O35" s="23">
        <v>1</v>
      </c>
      <c r="P35" s="23"/>
      <c r="Q35" s="23">
        <v>1</v>
      </c>
      <c r="R35" s="23"/>
      <c r="S35" s="23"/>
      <c r="T35" s="23">
        <v>4</v>
      </c>
      <c r="U35" s="23">
        <v>5</v>
      </c>
      <c r="V35" s="23">
        <v>82</v>
      </c>
      <c r="W35" s="23">
        <v>3</v>
      </c>
      <c r="X35" s="23">
        <v>1</v>
      </c>
      <c r="Y35" s="23"/>
      <c r="Z35" s="23">
        <v>2</v>
      </c>
      <c r="AA35" s="23"/>
      <c r="AB35" s="23"/>
      <c r="AC35" s="23"/>
      <c r="AD35" s="23"/>
      <c r="AE35" s="23">
        <v>38</v>
      </c>
      <c r="AF35" s="23"/>
      <c r="AG35" s="23">
        <v>1</v>
      </c>
      <c r="AH35" s="23"/>
      <c r="AI35" s="554"/>
      <c r="AJ35" s="554" t="s">
        <v>391</v>
      </c>
      <c r="AK35" s="406">
        <f t="shared" si="27"/>
        <v>2</v>
      </c>
      <c r="AL35" s="406">
        <f t="shared" si="28"/>
        <v>0</v>
      </c>
      <c r="AM35" s="406">
        <f t="shared" si="29"/>
        <v>94</v>
      </c>
      <c r="AN35" s="406">
        <f t="shared" si="30"/>
        <v>1</v>
      </c>
      <c r="AO35" s="406">
        <f t="shared" si="31"/>
        <v>2</v>
      </c>
      <c r="AP35" s="406">
        <f t="shared" si="32"/>
        <v>0</v>
      </c>
      <c r="AQ35" s="406">
        <f t="shared" si="33"/>
        <v>38</v>
      </c>
      <c r="AR35" s="406">
        <f t="shared" si="33"/>
        <v>0</v>
      </c>
      <c r="AS35" s="406">
        <f t="shared" si="34"/>
        <v>1</v>
      </c>
    </row>
    <row r="36" spans="1:45" s="22" customFormat="1" x14ac:dyDescent="0.15">
      <c r="A36" s="729" t="s">
        <v>380</v>
      </c>
      <c r="B36" s="552">
        <f>SUM(AK39:AK40)</f>
        <v>7</v>
      </c>
      <c r="C36" s="552">
        <f t="shared" ref="C36:J36" si="41">SUM(AL39:AL40)</f>
        <v>2</v>
      </c>
      <c r="D36" s="552">
        <f t="shared" si="41"/>
        <v>17</v>
      </c>
      <c r="E36" s="552">
        <f t="shared" si="41"/>
        <v>35</v>
      </c>
      <c r="F36" s="552">
        <f t="shared" si="41"/>
        <v>374</v>
      </c>
      <c r="G36" s="552">
        <f t="shared" si="41"/>
        <v>15</v>
      </c>
      <c r="H36" s="552">
        <f t="shared" si="41"/>
        <v>182</v>
      </c>
      <c r="I36" s="552">
        <f t="shared" si="41"/>
        <v>90</v>
      </c>
      <c r="J36" s="552">
        <f t="shared" si="41"/>
        <v>46</v>
      </c>
      <c r="K36" s="553">
        <f>SUM(B36:J36)</f>
        <v>768</v>
      </c>
      <c r="M36" s="554"/>
      <c r="N36" s="554" t="s">
        <v>392</v>
      </c>
      <c r="O36" s="23"/>
      <c r="P36" s="23"/>
      <c r="Q36" s="23"/>
      <c r="R36" s="23"/>
      <c r="S36" s="23">
        <v>1</v>
      </c>
      <c r="T36" s="23">
        <v>5</v>
      </c>
      <c r="U36" s="23">
        <v>8</v>
      </c>
      <c r="V36" s="23">
        <v>2</v>
      </c>
      <c r="W36" s="23">
        <v>55</v>
      </c>
      <c r="X36" s="23">
        <v>6</v>
      </c>
      <c r="Y36" s="23"/>
      <c r="Z36" s="23"/>
      <c r="AA36" s="23"/>
      <c r="AB36" s="23"/>
      <c r="AC36" s="23"/>
      <c r="AD36" s="23"/>
      <c r="AE36" s="23">
        <v>8</v>
      </c>
      <c r="AF36" s="23"/>
      <c r="AG36" s="23">
        <v>28</v>
      </c>
      <c r="AH36" s="23"/>
      <c r="AI36" s="554"/>
      <c r="AJ36" s="554" t="s">
        <v>392</v>
      </c>
      <c r="AK36" s="406">
        <f t="shared" si="27"/>
        <v>0</v>
      </c>
      <c r="AL36" s="406">
        <f t="shared" si="28"/>
        <v>1</v>
      </c>
      <c r="AM36" s="406">
        <f t="shared" si="29"/>
        <v>70</v>
      </c>
      <c r="AN36" s="406">
        <f t="shared" si="30"/>
        <v>6</v>
      </c>
      <c r="AO36" s="406">
        <f t="shared" si="31"/>
        <v>0</v>
      </c>
      <c r="AP36" s="406">
        <f t="shared" si="32"/>
        <v>0</v>
      </c>
      <c r="AQ36" s="406">
        <f t="shared" si="33"/>
        <v>8</v>
      </c>
      <c r="AR36" s="406">
        <f t="shared" si="33"/>
        <v>0</v>
      </c>
      <c r="AS36" s="406">
        <f t="shared" si="34"/>
        <v>28</v>
      </c>
    </row>
    <row r="37" spans="1:45" s="22" customFormat="1" x14ac:dyDescent="0.15">
      <c r="A37" s="745"/>
      <c r="B37" s="556">
        <f>B36/B$44</f>
        <v>9.8314606741573031E-3</v>
      </c>
      <c r="C37" s="556">
        <f t="shared" ref="C37:K37" si="42">C36/C$44</f>
        <v>2.7285129604365621E-3</v>
      </c>
      <c r="D37" s="556">
        <f t="shared" si="42"/>
        <v>2.3415977961432508E-2</v>
      </c>
      <c r="E37" s="556">
        <f t="shared" si="42"/>
        <v>5.7471264367816091E-2</v>
      </c>
      <c r="F37" s="556">
        <f t="shared" si="42"/>
        <v>0.63069139966273191</v>
      </c>
      <c r="G37" s="556">
        <f t="shared" si="42"/>
        <v>6.8870523415977963E-3</v>
      </c>
      <c r="H37" s="556">
        <f t="shared" si="42"/>
        <v>0.10346787947697555</v>
      </c>
      <c r="I37" s="556">
        <f t="shared" si="42"/>
        <v>0.10011123470522804</v>
      </c>
      <c r="J37" s="556">
        <f t="shared" si="42"/>
        <v>5.3927315357561546E-2</v>
      </c>
      <c r="K37" s="556">
        <f t="shared" si="42"/>
        <v>8.4749503420878392E-2</v>
      </c>
      <c r="M37" s="554"/>
      <c r="N37" s="554" t="s">
        <v>393</v>
      </c>
      <c r="O37" s="23">
        <v>2</v>
      </c>
      <c r="P37" s="23">
        <v>2</v>
      </c>
      <c r="Q37" s="23">
        <v>2</v>
      </c>
      <c r="R37" s="23">
        <v>1</v>
      </c>
      <c r="S37" s="23"/>
      <c r="T37" s="23"/>
      <c r="U37" s="23">
        <v>5</v>
      </c>
      <c r="V37" s="23">
        <v>4</v>
      </c>
      <c r="W37" s="23">
        <v>5</v>
      </c>
      <c r="X37" s="23">
        <v>202</v>
      </c>
      <c r="Y37" s="23">
        <v>19</v>
      </c>
      <c r="Z37" s="23"/>
      <c r="AA37" s="23">
        <v>1</v>
      </c>
      <c r="AB37" s="23"/>
      <c r="AC37" s="23"/>
      <c r="AD37" s="23"/>
      <c r="AE37" s="23">
        <v>114</v>
      </c>
      <c r="AF37" s="23">
        <v>4</v>
      </c>
      <c r="AG37" s="23">
        <v>14</v>
      </c>
      <c r="AH37" s="23"/>
      <c r="AI37" s="554"/>
      <c r="AJ37" s="554" t="s">
        <v>393</v>
      </c>
      <c r="AK37" s="406">
        <f t="shared" si="27"/>
        <v>6</v>
      </c>
      <c r="AL37" s="406">
        <f t="shared" si="28"/>
        <v>1</v>
      </c>
      <c r="AM37" s="406">
        <f t="shared" si="29"/>
        <v>14</v>
      </c>
      <c r="AN37" s="406">
        <f t="shared" si="30"/>
        <v>221</v>
      </c>
      <c r="AO37" s="406">
        <f t="shared" si="31"/>
        <v>1</v>
      </c>
      <c r="AP37" s="406">
        <f t="shared" si="32"/>
        <v>0</v>
      </c>
      <c r="AQ37" s="406">
        <f t="shared" si="33"/>
        <v>114</v>
      </c>
      <c r="AR37" s="406">
        <f t="shared" si="33"/>
        <v>4</v>
      </c>
      <c r="AS37" s="406">
        <f t="shared" si="34"/>
        <v>14</v>
      </c>
    </row>
    <row r="38" spans="1:45" s="22" customFormat="1" x14ac:dyDescent="0.15">
      <c r="A38" s="729" t="s">
        <v>381</v>
      </c>
      <c r="B38" s="552">
        <f>SUM(AK41:AK43)</f>
        <v>28</v>
      </c>
      <c r="C38" s="552">
        <f t="shared" ref="C38:J38" si="43">SUM(AL41:AL43)</f>
        <v>20</v>
      </c>
      <c r="D38" s="552">
        <f t="shared" si="43"/>
        <v>93</v>
      </c>
      <c r="E38" s="552">
        <f t="shared" si="43"/>
        <v>114</v>
      </c>
      <c r="F38" s="552">
        <f t="shared" si="43"/>
        <v>77</v>
      </c>
      <c r="G38" s="552">
        <f t="shared" si="43"/>
        <v>2105</v>
      </c>
      <c r="H38" s="552">
        <f t="shared" si="43"/>
        <v>644</v>
      </c>
      <c r="I38" s="552">
        <f t="shared" si="43"/>
        <v>239</v>
      </c>
      <c r="J38" s="552">
        <f t="shared" si="43"/>
        <v>317</v>
      </c>
      <c r="K38" s="553">
        <f>SUM(B38:J38)</f>
        <v>3637</v>
      </c>
      <c r="M38" s="554"/>
      <c r="N38" s="554" t="s">
        <v>394</v>
      </c>
      <c r="O38" s="23"/>
      <c r="P38" s="23">
        <v>1</v>
      </c>
      <c r="Q38" s="23">
        <v>2</v>
      </c>
      <c r="R38" s="23"/>
      <c r="S38" s="23"/>
      <c r="T38" s="23">
        <v>1</v>
      </c>
      <c r="U38" s="23"/>
      <c r="V38" s="23">
        <v>4</v>
      </c>
      <c r="W38" s="23">
        <v>1</v>
      </c>
      <c r="X38" s="23">
        <v>28</v>
      </c>
      <c r="Y38" s="23">
        <v>127</v>
      </c>
      <c r="Z38" s="23">
        <v>9</v>
      </c>
      <c r="AA38" s="23">
        <v>1</v>
      </c>
      <c r="AB38" s="23"/>
      <c r="AC38" s="23"/>
      <c r="AD38" s="23">
        <v>3</v>
      </c>
      <c r="AE38" s="23">
        <v>43</v>
      </c>
      <c r="AF38" s="23">
        <v>2</v>
      </c>
      <c r="AG38" s="23">
        <v>10</v>
      </c>
      <c r="AH38" s="23"/>
      <c r="AI38" s="554"/>
      <c r="AJ38" s="554" t="s">
        <v>394</v>
      </c>
      <c r="AK38" s="406">
        <f t="shared" si="27"/>
        <v>3</v>
      </c>
      <c r="AL38" s="406">
        <f t="shared" si="28"/>
        <v>0</v>
      </c>
      <c r="AM38" s="406">
        <f t="shared" si="29"/>
        <v>6</v>
      </c>
      <c r="AN38" s="406">
        <f t="shared" si="30"/>
        <v>155</v>
      </c>
      <c r="AO38" s="406">
        <f t="shared" si="31"/>
        <v>10</v>
      </c>
      <c r="AP38" s="406">
        <f t="shared" si="32"/>
        <v>3</v>
      </c>
      <c r="AQ38" s="406">
        <f t="shared" si="33"/>
        <v>43</v>
      </c>
      <c r="AR38" s="406">
        <f t="shared" si="33"/>
        <v>2</v>
      </c>
      <c r="AS38" s="406">
        <f t="shared" si="34"/>
        <v>10</v>
      </c>
    </row>
    <row r="39" spans="1:45" s="22" customFormat="1" x14ac:dyDescent="0.15">
      <c r="A39" s="745"/>
      <c r="B39" s="556">
        <f>B38/B$44</f>
        <v>3.9325842696629212E-2</v>
      </c>
      <c r="C39" s="556">
        <f t="shared" ref="C39:K39" si="44">C38/C$44</f>
        <v>2.7285129604365622E-2</v>
      </c>
      <c r="D39" s="556">
        <f t="shared" si="44"/>
        <v>0.128099173553719</v>
      </c>
      <c r="E39" s="556">
        <f t="shared" si="44"/>
        <v>0.18719211822660098</v>
      </c>
      <c r="F39" s="556">
        <f t="shared" si="44"/>
        <v>0.12984822934232715</v>
      </c>
      <c r="G39" s="556">
        <f t="shared" si="44"/>
        <v>0.96648301193755737</v>
      </c>
      <c r="H39" s="556">
        <f t="shared" si="44"/>
        <v>0.36611711199545194</v>
      </c>
      <c r="I39" s="556">
        <f t="shared" si="44"/>
        <v>0.26585094549499444</v>
      </c>
      <c r="J39" s="556">
        <f t="shared" si="44"/>
        <v>0.37162954279015242</v>
      </c>
      <c r="K39" s="556">
        <f t="shared" si="44"/>
        <v>0.40134628117413373</v>
      </c>
      <c r="M39" s="554"/>
      <c r="N39" s="554" t="s">
        <v>395</v>
      </c>
      <c r="O39" s="23">
        <v>3</v>
      </c>
      <c r="P39" s="23"/>
      <c r="Q39" s="23"/>
      <c r="R39" s="23"/>
      <c r="S39" s="23"/>
      <c r="T39" s="23"/>
      <c r="U39" s="23"/>
      <c r="V39" s="23">
        <v>4</v>
      </c>
      <c r="W39" s="23"/>
      <c r="X39" s="23">
        <v>6</v>
      </c>
      <c r="Y39" s="23">
        <v>7</v>
      </c>
      <c r="Z39" s="23">
        <v>115</v>
      </c>
      <c r="AA39" s="23">
        <v>14</v>
      </c>
      <c r="AB39" s="23"/>
      <c r="AC39" s="23"/>
      <c r="AD39" s="23"/>
      <c r="AE39" s="23">
        <v>112</v>
      </c>
      <c r="AF39" s="23">
        <v>12</v>
      </c>
      <c r="AG39" s="23">
        <v>12</v>
      </c>
      <c r="AH39" s="23">
        <v>3</v>
      </c>
      <c r="AI39" s="554"/>
      <c r="AJ39" s="554" t="s">
        <v>395</v>
      </c>
      <c r="AK39" s="406">
        <f t="shared" si="27"/>
        <v>3</v>
      </c>
      <c r="AL39" s="406">
        <f t="shared" si="28"/>
        <v>0</v>
      </c>
      <c r="AM39" s="406">
        <f t="shared" si="29"/>
        <v>4</v>
      </c>
      <c r="AN39" s="406">
        <f t="shared" si="30"/>
        <v>13</v>
      </c>
      <c r="AO39" s="406">
        <f t="shared" si="31"/>
        <v>129</v>
      </c>
      <c r="AP39" s="406">
        <f t="shared" si="32"/>
        <v>0</v>
      </c>
      <c r="AQ39" s="406">
        <f t="shared" si="33"/>
        <v>112</v>
      </c>
      <c r="AR39" s="406">
        <f t="shared" si="33"/>
        <v>12</v>
      </c>
      <c r="AS39" s="406">
        <f t="shared" si="34"/>
        <v>15</v>
      </c>
    </row>
    <row r="40" spans="1:45" s="22" customFormat="1" x14ac:dyDescent="0.15">
      <c r="A40" s="729" t="s">
        <v>486</v>
      </c>
      <c r="B40" s="552">
        <f>AK44</f>
        <v>0</v>
      </c>
      <c r="C40" s="552">
        <f t="shared" ref="C40:J40" si="45">AL44</f>
        <v>0</v>
      </c>
      <c r="D40" s="552">
        <f t="shared" si="45"/>
        <v>0</v>
      </c>
      <c r="E40" s="552">
        <f t="shared" si="45"/>
        <v>0</v>
      </c>
      <c r="F40" s="552">
        <f t="shared" si="45"/>
        <v>0</v>
      </c>
      <c r="G40" s="552">
        <f t="shared" si="45"/>
        <v>0</v>
      </c>
      <c r="H40" s="552">
        <f t="shared" si="45"/>
        <v>0</v>
      </c>
      <c r="I40" s="552">
        <f t="shared" si="45"/>
        <v>0</v>
      </c>
      <c r="J40" s="552">
        <f t="shared" si="45"/>
        <v>0</v>
      </c>
      <c r="K40" s="553">
        <f>SUM(B40:J40)</f>
        <v>0</v>
      </c>
      <c r="M40" s="554"/>
      <c r="N40" s="554" t="s">
        <v>396</v>
      </c>
      <c r="O40" s="23">
        <v>2</v>
      </c>
      <c r="P40" s="23">
        <v>1</v>
      </c>
      <c r="Q40" s="23">
        <v>1</v>
      </c>
      <c r="R40" s="23">
        <v>1</v>
      </c>
      <c r="S40" s="23">
        <v>1</v>
      </c>
      <c r="T40" s="23">
        <v>4</v>
      </c>
      <c r="U40" s="23">
        <v>6</v>
      </c>
      <c r="V40" s="23">
        <v>2</v>
      </c>
      <c r="W40" s="23">
        <v>1</v>
      </c>
      <c r="X40" s="23">
        <v>8</v>
      </c>
      <c r="Y40" s="23">
        <v>14</v>
      </c>
      <c r="Z40" s="23">
        <v>31</v>
      </c>
      <c r="AA40" s="23">
        <v>214</v>
      </c>
      <c r="AB40" s="23">
        <v>11</v>
      </c>
      <c r="AC40" s="23">
        <v>1</v>
      </c>
      <c r="AD40" s="23">
        <v>3</v>
      </c>
      <c r="AE40" s="23">
        <v>70</v>
      </c>
      <c r="AF40" s="23">
        <v>78</v>
      </c>
      <c r="AG40" s="23">
        <v>27</v>
      </c>
      <c r="AH40" s="23">
        <v>4</v>
      </c>
      <c r="AI40" s="554"/>
      <c r="AJ40" s="554" t="s">
        <v>396</v>
      </c>
      <c r="AK40" s="406">
        <f t="shared" si="27"/>
        <v>4</v>
      </c>
      <c r="AL40" s="406">
        <f t="shared" si="28"/>
        <v>2</v>
      </c>
      <c r="AM40" s="406">
        <f t="shared" si="29"/>
        <v>13</v>
      </c>
      <c r="AN40" s="406">
        <f t="shared" si="30"/>
        <v>22</v>
      </c>
      <c r="AO40" s="406">
        <f t="shared" si="31"/>
        <v>245</v>
      </c>
      <c r="AP40" s="406">
        <f t="shared" si="32"/>
        <v>15</v>
      </c>
      <c r="AQ40" s="406">
        <f t="shared" si="33"/>
        <v>70</v>
      </c>
      <c r="AR40" s="406">
        <f t="shared" si="33"/>
        <v>78</v>
      </c>
      <c r="AS40" s="406">
        <f t="shared" si="34"/>
        <v>31</v>
      </c>
    </row>
    <row r="41" spans="1:45" s="22" customFormat="1" x14ac:dyDescent="0.15">
      <c r="A41" s="745"/>
      <c r="B41" s="556">
        <f>B40/B$44</f>
        <v>0</v>
      </c>
      <c r="C41" s="556">
        <f t="shared" ref="C41:K41" si="46">C40/C$44</f>
        <v>0</v>
      </c>
      <c r="D41" s="556">
        <f t="shared" si="46"/>
        <v>0</v>
      </c>
      <c r="E41" s="556">
        <f t="shared" si="46"/>
        <v>0</v>
      </c>
      <c r="F41" s="556">
        <f t="shared" si="46"/>
        <v>0</v>
      </c>
      <c r="G41" s="556">
        <f t="shared" si="46"/>
        <v>0</v>
      </c>
      <c r="H41" s="556">
        <f t="shared" si="46"/>
        <v>0</v>
      </c>
      <c r="I41" s="556">
        <f t="shared" si="46"/>
        <v>0</v>
      </c>
      <c r="J41" s="556">
        <f t="shared" si="46"/>
        <v>0</v>
      </c>
      <c r="K41" s="556">
        <f t="shared" si="46"/>
        <v>0</v>
      </c>
      <c r="M41" s="554"/>
      <c r="N41" s="554" t="s">
        <v>397</v>
      </c>
      <c r="O41" s="23">
        <v>2</v>
      </c>
      <c r="P41" s="23">
        <v>3</v>
      </c>
      <c r="Q41" s="23">
        <v>3</v>
      </c>
      <c r="R41" s="23">
        <v>3</v>
      </c>
      <c r="S41" s="23">
        <v>1</v>
      </c>
      <c r="T41" s="23">
        <v>4</v>
      </c>
      <c r="U41" s="23">
        <v>6</v>
      </c>
      <c r="V41" s="23">
        <v>4</v>
      </c>
      <c r="W41" s="23">
        <v>11</v>
      </c>
      <c r="X41" s="23">
        <v>46</v>
      </c>
      <c r="Y41" s="23">
        <v>10</v>
      </c>
      <c r="Z41" s="23">
        <v>9</v>
      </c>
      <c r="AA41" s="23">
        <v>17</v>
      </c>
      <c r="AB41" s="23">
        <v>417</v>
      </c>
      <c r="AC41" s="23">
        <v>41</v>
      </c>
      <c r="AD41" s="23">
        <v>18</v>
      </c>
      <c r="AE41" s="23">
        <v>199</v>
      </c>
      <c r="AF41" s="23">
        <v>128</v>
      </c>
      <c r="AG41" s="23">
        <v>75</v>
      </c>
      <c r="AH41" s="23">
        <v>8</v>
      </c>
      <c r="AI41" s="554"/>
      <c r="AJ41" s="554" t="s">
        <v>397</v>
      </c>
      <c r="AK41" s="406">
        <f t="shared" si="27"/>
        <v>8</v>
      </c>
      <c r="AL41" s="406">
        <f t="shared" si="28"/>
        <v>4</v>
      </c>
      <c r="AM41" s="406">
        <f t="shared" si="29"/>
        <v>25</v>
      </c>
      <c r="AN41" s="406">
        <f t="shared" si="30"/>
        <v>56</v>
      </c>
      <c r="AO41" s="406">
        <f t="shared" si="31"/>
        <v>26</v>
      </c>
      <c r="AP41" s="406">
        <f t="shared" si="32"/>
        <v>476</v>
      </c>
      <c r="AQ41" s="406">
        <f t="shared" si="33"/>
        <v>199</v>
      </c>
      <c r="AR41" s="406">
        <f t="shared" si="33"/>
        <v>128</v>
      </c>
      <c r="AS41" s="406">
        <f t="shared" si="34"/>
        <v>83</v>
      </c>
    </row>
    <row r="42" spans="1:45" s="22" customFormat="1" x14ac:dyDescent="0.15">
      <c r="A42" s="729" t="s">
        <v>487</v>
      </c>
      <c r="B42" s="552">
        <f>AK45</f>
        <v>13</v>
      </c>
      <c r="C42" s="552">
        <f t="shared" ref="C42:J42" si="47">AL45</f>
        <v>3</v>
      </c>
      <c r="D42" s="552">
        <f t="shared" si="47"/>
        <v>12</v>
      </c>
      <c r="E42" s="552">
        <f t="shared" si="47"/>
        <v>33</v>
      </c>
      <c r="F42" s="552">
        <f t="shared" si="47"/>
        <v>118</v>
      </c>
      <c r="G42" s="552">
        <f t="shared" si="47"/>
        <v>40</v>
      </c>
      <c r="H42" s="552">
        <f t="shared" si="47"/>
        <v>277</v>
      </c>
      <c r="I42" s="552">
        <f t="shared" si="47"/>
        <v>545</v>
      </c>
      <c r="J42" s="552">
        <f t="shared" si="47"/>
        <v>53</v>
      </c>
      <c r="K42" s="553">
        <f>SUM(B42:J42)</f>
        <v>1094</v>
      </c>
      <c r="M42" s="554"/>
      <c r="N42" s="554" t="s">
        <v>398</v>
      </c>
      <c r="O42" s="23">
        <v>3</v>
      </c>
      <c r="P42" s="23">
        <v>7</v>
      </c>
      <c r="Q42" s="23">
        <v>6</v>
      </c>
      <c r="R42" s="23">
        <v>6</v>
      </c>
      <c r="S42" s="23">
        <v>4</v>
      </c>
      <c r="T42" s="23">
        <v>7</v>
      </c>
      <c r="U42" s="23">
        <v>10</v>
      </c>
      <c r="V42" s="23">
        <v>10</v>
      </c>
      <c r="W42" s="23">
        <v>4</v>
      </c>
      <c r="X42" s="23">
        <v>27</v>
      </c>
      <c r="Y42" s="23">
        <v>16</v>
      </c>
      <c r="Z42" s="23">
        <v>18</v>
      </c>
      <c r="AA42" s="23">
        <v>24</v>
      </c>
      <c r="AB42" s="23">
        <v>100</v>
      </c>
      <c r="AC42" s="23">
        <v>807</v>
      </c>
      <c r="AD42" s="23">
        <v>116</v>
      </c>
      <c r="AE42" s="23">
        <v>347</v>
      </c>
      <c r="AF42" s="23">
        <v>93</v>
      </c>
      <c r="AG42" s="23">
        <v>109</v>
      </c>
      <c r="AH42" s="23">
        <v>46</v>
      </c>
      <c r="AI42" s="554"/>
      <c r="AJ42" s="554" t="s">
        <v>398</v>
      </c>
      <c r="AK42" s="629">
        <f>SUM(O42:Q42)</f>
        <v>16</v>
      </c>
      <c r="AL42" s="406">
        <f t="shared" si="28"/>
        <v>10</v>
      </c>
      <c r="AM42" s="406">
        <f t="shared" si="29"/>
        <v>31</v>
      </c>
      <c r="AN42" s="406">
        <f t="shared" si="30"/>
        <v>43</v>
      </c>
      <c r="AO42" s="406">
        <f t="shared" si="31"/>
        <v>42</v>
      </c>
      <c r="AP42" s="406">
        <f t="shared" si="32"/>
        <v>1023</v>
      </c>
      <c r="AQ42" s="406">
        <f t="shared" si="33"/>
        <v>347</v>
      </c>
      <c r="AR42" s="406">
        <f t="shared" si="33"/>
        <v>93</v>
      </c>
      <c r="AS42" s="406">
        <f t="shared" si="34"/>
        <v>155</v>
      </c>
    </row>
    <row r="43" spans="1:45" s="22" customFormat="1" x14ac:dyDescent="0.15">
      <c r="A43" s="745"/>
      <c r="B43" s="556">
        <f>B42/B$44</f>
        <v>1.8258426966292134E-2</v>
      </c>
      <c r="C43" s="556">
        <f t="shared" ref="C43:K43" si="48">C42/C$44</f>
        <v>4.0927694406548429E-3</v>
      </c>
      <c r="D43" s="556">
        <f t="shared" si="48"/>
        <v>1.6528925619834711E-2</v>
      </c>
      <c r="E43" s="556">
        <f t="shared" si="48"/>
        <v>5.4187192118226604E-2</v>
      </c>
      <c r="F43" s="556">
        <f t="shared" si="48"/>
        <v>0.19898819561551434</v>
      </c>
      <c r="G43" s="556">
        <f t="shared" si="48"/>
        <v>1.8365472910927456E-2</v>
      </c>
      <c r="H43" s="556">
        <f t="shared" si="48"/>
        <v>0.15747583854462763</v>
      </c>
      <c r="I43" s="556">
        <f t="shared" si="48"/>
        <v>0.6062291434927698</v>
      </c>
      <c r="J43" s="556">
        <f t="shared" si="48"/>
        <v>6.2133645955451351E-2</v>
      </c>
      <c r="K43" s="556">
        <f t="shared" si="48"/>
        <v>0.12072390200838667</v>
      </c>
      <c r="M43" s="554"/>
      <c r="N43" s="554" t="s">
        <v>399</v>
      </c>
      <c r="O43" s="23">
        <v>1</v>
      </c>
      <c r="P43" s="23">
        <v>2</v>
      </c>
      <c r="Q43" s="23">
        <v>1</v>
      </c>
      <c r="R43" s="23">
        <v>3</v>
      </c>
      <c r="S43" s="23">
        <v>3</v>
      </c>
      <c r="T43" s="23">
        <v>12</v>
      </c>
      <c r="U43" s="23">
        <v>8</v>
      </c>
      <c r="V43" s="23">
        <v>15</v>
      </c>
      <c r="W43" s="23">
        <v>2</v>
      </c>
      <c r="X43" s="23">
        <v>7</v>
      </c>
      <c r="Y43" s="23">
        <v>8</v>
      </c>
      <c r="Z43" s="23">
        <v>3</v>
      </c>
      <c r="AA43" s="23">
        <v>6</v>
      </c>
      <c r="AB43" s="23">
        <v>25</v>
      </c>
      <c r="AC43" s="23">
        <v>70</v>
      </c>
      <c r="AD43" s="23">
        <v>511</v>
      </c>
      <c r="AE43" s="23">
        <v>98</v>
      </c>
      <c r="AF43" s="23">
        <v>18</v>
      </c>
      <c r="AG43" s="23">
        <v>78</v>
      </c>
      <c r="AH43" s="23">
        <v>1</v>
      </c>
      <c r="AI43" s="554"/>
      <c r="AJ43" s="554" t="s">
        <v>399</v>
      </c>
      <c r="AK43" s="406">
        <f t="shared" si="27"/>
        <v>4</v>
      </c>
      <c r="AL43" s="406">
        <f t="shared" si="28"/>
        <v>6</v>
      </c>
      <c r="AM43" s="406">
        <f t="shared" si="29"/>
        <v>37</v>
      </c>
      <c r="AN43" s="406">
        <f t="shared" si="30"/>
        <v>15</v>
      </c>
      <c r="AO43" s="406">
        <f t="shared" si="31"/>
        <v>9</v>
      </c>
      <c r="AP43" s="406">
        <f t="shared" si="32"/>
        <v>606</v>
      </c>
      <c r="AQ43" s="406">
        <f t="shared" si="33"/>
        <v>98</v>
      </c>
      <c r="AR43" s="406">
        <f t="shared" si="33"/>
        <v>18</v>
      </c>
      <c r="AS43" s="406">
        <f t="shared" si="34"/>
        <v>79</v>
      </c>
    </row>
    <row r="44" spans="1:45" s="22" customFormat="1" x14ac:dyDescent="0.15">
      <c r="A44" s="753" t="s">
        <v>11</v>
      </c>
      <c r="B44" s="557">
        <f>SUM(B28,B30,B32,B34,B36,B38,B40,B42)</f>
        <v>712</v>
      </c>
      <c r="C44" s="557">
        <f t="shared" ref="C44:K45" si="49">SUM(C28,C30,C32,C34,C36,C38,C40,C42)</f>
        <v>733</v>
      </c>
      <c r="D44" s="557">
        <f t="shared" si="49"/>
        <v>726</v>
      </c>
      <c r="E44" s="557">
        <f t="shared" si="49"/>
        <v>609</v>
      </c>
      <c r="F44" s="557">
        <f t="shared" si="49"/>
        <v>593</v>
      </c>
      <c r="G44" s="557">
        <f t="shared" si="49"/>
        <v>2178</v>
      </c>
      <c r="H44" s="557">
        <f t="shared" si="49"/>
        <v>1759</v>
      </c>
      <c r="I44" s="557">
        <f t="shared" si="49"/>
        <v>899</v>
      </c>
      <c r="J44" s="557">
        <f t="shared" si="49"/>
        <v>853</v>
      </c>
      <c r="K44" s="557">
        <f>SUM(K28,K30,K32,K34,K36,K38,K40,K42)</f>
        <v>9062</v>
      </c>
      <c r="M44" s="554"/>
      <c r="N44" s="554" t="s">
        <v>400</v>
      </c>
      <c r="AI44" s="554"/>
      <c r="AJ44" s="554" t="s">
        <v>400</v>
      </c>
      <c r="AK44" s="406">
        <f t="shared" ref="AK44:AK45" si="50">SUM(O44:Q44)</f>
        <v>0</v>
      </c>
      <c r="AL44" s="406">
        <f t="shared" ref="AL44:AL45" si="51">SUM(R44:S44)</f>
        <v>0</v>
      </c>
      <c r="AM44" s="406">
        <f t="shared" ref="AM44:AM45" si="52">SUM(T44:W44)</f>
        <v>0</v>
      </c>
      <c r="AN44" s="406">
        <f t="shared" ref="AN44:AN45" si="53">SUM(X44:Y44)</f>
        <v>0</v>
      </c>
      <c r="AO44" s="406">
        <f t="shared" ref="AO44:AO45" si="54">SUM(Z44:AA44)</f>
        <v>0</v>
      </c>
      <c r="AP44" s="406">
        <f t="shared" ref="AP44:AP45" si="55">SUM(AB44:AD44)</f>
        <v>0</v>
      </c>
      <c r="AQ44" s="406">
        <f t="shared" ref="AQ44:AQ45" si="56">AE44</f>
        <v>0</v>
      </c>
      <c r="AR44" s="406">
        <f t="shared" ref="AR44:AR45" si="57">AF44</f>
        <v>0</v>
      </c>
      <c r="AS44" s="406">
        <f t="shared" ref="AS44:AS45" si="58">SUM(AG44:AH44)</f>
        <v>0</v>
      </c>
    </row>
    <row r="45" spans="1:45" s="22" customFormat="1" x14ac:dyDescent="0.15">
      <c r="A45" s="754"/>
      <c r="B45" s="558">
        <f>SUM(B29,B31,B33,B35,B37,B39,B41,B43)</f>
        <v>0.99999999999999989</v>
      </c>
      <c r="C45" s="558">
        <f t="shared" si="49"/>
        <v>0.99999999999999989</v>
      </c>
      <c r="D45" s="558">
        <f t="shared" si="49"/>
        <v>1</v>
      </c>
      <c r="E45" s="558">
        <f t="shared" si="49"/>
        <v>1</v>
      </c>
      <c r="F45" s="558">
        <f t="shared" si="49"/>
        <v>1</v>
      </c>
      <c r="G45" s="558">
        <f t="shared" si="49"/>
        <v>1</v>
      </c>
      <c r="H45" s="558">
        <f t="shared" si="49"/>
        <v>1</v>
      </c>
      <c r="I45" s="558">
        <f t="shared" si="49"/>
        <v>1</v>
      </c>
      <c r="J45" s="558">
        <f t="shared" si="49"/>
        <v>1</v>
      </c>
      <c r="K45" s="558">
        <f t="shared" si="49"/>
        <v>1</v>
      </c>
      <c r="M45" s="554"/>
      <c r="N45" s="554" t="s">
        <v>401</v>
      </c>
      <c r="O45" s="23">
        <v>3</v>
      </c>
      <c r="P45" s="23">
        <v>6</v>
      </c>
      <c r="Q45" s="23">
        <v>4</v>
      </c>
      <c r="R45" s="23">
        <v>1</v>
      </c>
      <c r="S45" s="23">
        <v>2</v>
      </c>
      <c r="T45" s="23">
        <v>5</v>
      </c>
      <c r="U45" s="23">
        <v>3</v>
      </c>
      <c r="V45" s="23">
        <v>2</v>
      </c>
      <c r="W45" s="23">
        <v>2</v>
      </c>
      <c r="X45" s="23">
        <v>21</v>
      </c>
      <c r="Y45" s="23">
        <v>12</v>
      </c>
      <c r="Z45" s="23">
        <v>84</v>
      </c>
      <c r="AA45" s="23">
        <v>34</v>
      </c>
      <c r="AB45" s="23">
        <v>28</v>
      </c>
      <c r="AC45" s="23">
        <v>7</v>
      </c>
      <c r="AD45" s="23">
        <v>5</v>
      </c>
      <c r="AE45" s="23">
        <v>277</v>
      </c>
      <c r="AF45" s="23">
        <v>545</v>
      </c>
      <c r="AG45" s="23">
        <v>43</v>
      </c>
      <c r="AH45" s="23">
        <v>10</v>
      </c>
      <c r="AI45" s="554"/>
      <c r="AJ45" s="554" t="s">
        <v>401</v>
      </c>
      <c r="AK45" s="406">
        <f t="shared" si="50"/>
        <v>13</v>
      </c>
      <c r="AL45" s="406">
        <f t="shared" si="51"/>
        <v>3</v>
      </c>
      <c r="AM45" s="406">
        <f t="shared" si="52"/>
        <v>12</v>
      </c>
      <c r="AN45" s="406">
        <f t="shared" si="53"/>
        <v>33</v>
      </c>
      <c r="AO45" s="406">
        <f t="shared" si="54"/>
        <v>118</v>
      </c>
      <c r="AP45" s="406">
        <f t="shared" si="55"/>
        <v>40</v>
      </c>
      <c r="AQ45" s="406">
        <f t="shared" si="56"/>
        <v>277</v>
      </c>
      <c r="AR45" s="406">
        <f t="shared" si="57"/>
        <v>545</v>
      </c>
      <c r="AS45" s="406">
        <f t="shared" si="58"/>
        <v>53</v>
      </c>
    </row>
    <row r="46" spans="1:45" x14ac:dyDescent="0.15">
      <c r="AI46" s="43"/>
      <c r="AJ46" s="43"/>
      <c r="AK46" s="43"/>
      <c r="AQ46" s="43"/>
      <c r="AR46" s="43"/>
      <c r="AS46" s="43"/>
    </row>
    <row r="47" spans="1:45" x14ac:dyDescent="0.15">
      <c r="A47" s="377"/>
      <c r="B47" s="377"/>
      <c r="C47" s="377"/>
      <c r="D47" s="377"/>
      <c r="E47" s="377"/>
      <c r="F47" s="377"/>
      <c r="G47" s="377"/>
      <c r="H47" s="377"/>
      <c r="I47" s="377"/>
      <c r="J47" s="377"/>
      <c r="K47" s="377"/>
      <c r="L47" s="377"/>
      <c r="M47" s="377"/>
    </row>
    <row r="48" spans="1:45" x14ac:dyDescent="0.15">
      <c r="A48" s="54"/>
    </row>
    <row r="49" spans="1:8" x14ac:dyDescent="0.15">
      <c r="A49" s="54"/>
    </row>
    <row r="50" spans="1:8" x14ac:dyDescent="0.15">
      <c r="A50" s="54"/>
    </row>
    <row r="51" spans="1:8" x14ac:dyDescent="0.15">
      <c r="A51" s="54"/>
    </row>
    <row r="52" spans="1:8" x14ac:dyDescent="0.15">
      <c r="A52" s="54"/>
    </row>
    <row r="53" spans="1:8" x14ac:dyDescent="0.15">
      <c r="A53" s="54"/>
      <c r="H53" s="560"/>
    </row>
    <row r="54" spans="1:8" x14ac:dyDescent="0.15">
      <c r="A54" s="54"/>
    </row>
    <row r="55" spans="1:8" x14ac:dyDescent="0.15">
      <c r="A55" s="54"/>
    </row>
  </sheetData>
  <mergeCells count="22">
    <mergeCell ref="A11:A12"/>
    <mergeCell ref="A3:A4"/>
    <mergeCell ref="B3:K3"/>
    <mergeCell ref="A5:A6"/>
    <mergeCell ref="A7:A8"/>
    <mergeCell ref="A9:A10"/>
    <mergeCell ref="A13:A14"/>
    <mergeCell ref="A15:A16"/>
    <mergeCell ref="A17:A18"/>
    <mergeCell ref="A19:A20"/>
    <mergeCell ref="A21:A22"/>
    <mergeCell ref="A38:A39"/>
    <mergeCell ref="A40:A41"/>
    <mergeCell ref="A42:A43"/>
    <mergeCell ref="A44:A45"/>
    <mergeCell ref="B26:K26"/>
    <mergeCell ref="A28:A29"/>
    <mergeCell ref="A30:A31"/>
    <mergeCell ref="A32:A33"/>
    <mergeCell ref="A34:A35"/>
    <mergeCell ref="A36:A37"/>
    <mergeCell ref="A26:A27"/>
  </mergeCells>
  <phoneticPr fontId="2"/>
  <printOptions horizontalCentered="1"/>
  <pageMargins left="0.70866141732283472" right="0.70866141732283472" top="0.74803149606299213" bottom="0.74803149606299213" header="0.31496062992125984" footer="0.31496062992125984"/>
  <pageSetup paperSize="9" scale="89" orientation="portrait" r:id="rId1"/>
  <ignoredErrors>
    <ignoredError sqref="B7:K19 B29:K4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9153" r:id="rId4" name="Button 1">
              <controlPr defaultSize="0" print="0" autoFill="0" autoPict="0" macro="[0]!データ削除37">
                <anchor moveWithCells="1" sizeWithCells="1">
                  <from>
                    <xdr:col>12</xdr:col>
                    <xdr:colOff>161925</xdr:colOff>
                    <xdr:row>0</xdr:row>
                    <xdr:rowOff>209550</xdr:rowOff>
                  </from>
                  <to>
                    <xdr:col>16</xdr:col>
                    <xdr:colOff>409575</xdr:colOff>
                    <xdr:row>2</xdr:row>
                    <xdr:rowOff>200025</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tabColor rgb="FFFFFF00"/>
  </sheetPr>
  <dimension ref="A1:Q89"/>
  <sheetViews>
    <sheetView showGridLines="0" zoomScaleNormal="100" zoomScaleSheetLayoutView="100" workbookViewId="0">
      <selection activeCell="R8" sqref="R8"/>
    </sheetView>
  </sheetViews>
  <sheetFormatPr defaultRowHeight="18.75" x14ac:dyDescent="0.15"/>
  <cols>
    <col min="1" max="1" width="4" style="1" bestFit="1" customWidth="1"/>
    <col min="2" max="2" width="10.875" style="561" customWidth="1"/>
    <col min="3" max="3" width="4.375" style="561" bestFit="1" customWidth="1"/>
    <col min="4" max="4" width="4.25" style="561" customWidth="1"/>
    <col min="5" max="8" width="5.375" style="561" bestFit="1" customWidth="1"/>
    <col min="9" max="9" width="7" style="561" bestFit="1" customWidth="1"/>
    <col min="10" max="10" width="4.375" style="561" bestFit="1" customWidth="1"/>
    <col min="11" max="14" width="5.375" style="561" bestFit="1" customWidth="1"/>
    <col min="15" max="15" width="5" style="561" bestFit="1" customWidth="1"/>
    <col min="16" max="16" width="7" style="561" bestFit="1" customWidth="1"/>
    <col min="17" max="17" width="6.875" style="561" customWidth="1"/>
    <col min="18" max="18" width="9" style="1"/>
    <col min="19" max="21" width="0" style="1" hidden="1" customWidth="1"/>
    <col min="22" max="16384" width="9" style="1"/>
  </cols>
  <sheetData>
    <row r="1" spans="1:17" x14ac:dyDescent="0.15">
      <c r="B1" s="4" t="s">
        <v>489</v>
      </c>
    </row>
    <row r="3" spans="1:17" x14ac:dyDescent="0.15">
      <c r="B3" s="562"/>
      <c r="C3" s="760" t="s">
        <v>490</v>
      </c>
      <c r="D3" s="761"/>
      <c r="E3" s="761"/>
      <c r="F3" s="761"/>
      <c r="G3" s="761"/>
      <c r="H3" s="761"/>
      <c r="I3" s="762"/>
      <c r="J3" s="760" t="s">
        <v>491</v>
      </c>
      <c r="K3" s="761"/>
      <c r="L3" s="761"/>
      <c r="M3" s="761"/>
      <c r="N3" s="761"/>
      <c r="O3" s="761"/>
      <c r="P3" s="762"/>
      <c r="Q3" s="763" t="s">
        <v>62</v>
      </c>
    </row>
    <row r="4" spans="1:17" ht="44.25" customHeight="1" x14ac:dyDescent="0.15">
      <c r="B4" s="563"/>
      <c r="C4" s="564" t="s">
        <v>276</v>
      </c>
      <c r="D4" s="565" t="s">
        <v>277</v>
      </c>
      <c r="E4" s="564" t="s">
        <v>492</v>
      </c>
      <c r="F4" s="564" t="s">
        <v>493</v>
      </c>
      <c r="G4" s="564" t="s">
        <v>494</v>
      </c>
      <c r="H4" s="564" t="s">
        <v>495</v>
      </c>
      <c r="I4" s="564" t="s">
        <v>496</v>
      </c>
      <c r="J4" s="564" t="s">
        <v>276</v>
      </c>
      <c r="K4" s="565" t="s">
        <v>277</v>
      </c>
      <c r="L4" s="564" t="s">
        <v>492</v>
      </c>
      <c r="M4" s="564" t="s">
        <v>493</v>
      </c>
      <c r="N4" s="564" t="s">
        <v>494</v>
      </c>
      <c r="O4" s="564" t="s">
        <v>495</v>
      </c>
      <c r="P4" s="564" t="s">
        <v>496</v>
      </c>
      <c r="Q4" s="764"/>
    </row>
    <row r="5" spans="1:17" s="226" customFormat="1" x14ac:dyDescent="0.15">
      <c r="A5" s="226">
        <v>1</v>
      </c>
      <c r="B5" s="249" t="s">
        <v>497</v>
      </c>
      <c r="C5" s="566"/>
      <c r="D5" s="566">
        <v>4</v>
      </c>
      <c r="E5" s="566">
        <v>7</v>
      </c>
      <c r="F5" s="566">
        <v>23</v>
      </c>
      <c r="G5" s="566">
        <v>18</v>
      </c>
      <c r="H5" s="566">
        <v>2</v>
      </c>
      <c r="I5" s="566">
        <f>SUM(C5:H5)</f>
        <v>54</v>
      </c>
      <c r="J5" s="566">
        <v>3</v>
      </c>
      <c r="K5" s="566">
        <v>5</v>
      </c>
      <c r="L5" s="566">
        <v>7</v>
      </c>
      <c r="M5" s="566">
        <v>13</v>
      </c>
      <c r="N5" s="566">
        <v>6</v>
      </c>
      <c r="O5" s="566">
        <v>1</v>
      </c>
      <c r="P5" s="566">
        <f>SUM(J5:O5)</f>
        <v>35</v>
      </c>
      <c r="Q5" s="567">
        <f>SUM(I5,P5)</f>
        <v>89</v>
      </c>
    </row>
    <row r="6" spans="1:17" s="226" customFormat="1" x14ac:dyDescent="0.15">
      <c r="A6" s="226">
        <v>2</v>
      </c>
      <c r="B6" s="249" t="s">
        <v>498</v>
      </c>
      <c r="C6" s="566">
        <v>1</v>
      </c>
      <c r="D6" s="566">
        <v>4</v>
      </c>
      <c r="E6" s="566">
        <v>15</v>
      </c>
      <c r="F6" s="566">
        <v>62</v>
      </c>
      <c r="G6" s="566">
        <v>43</v>
      </c>
      <c r="H6" s="566">
        <v>6</v>
      </c>
      <c r="I6" s="566">
        <f t="shared" ref="I6:I45" si="0">SUM(C6:H6)</f>
        <v>131</v>
      </c>
      <c r="J6" s="566">
        <v>1</v>
      </c>
      <c r="K6" s="566">
        <v>7</v>
      </c>
      <c r="L6" s="566">
        <v>13</v>
      </c>
      <c r="M6" s="566">
        <v>28</v>
      </c>
      <c r="N6" s="566">
        <v>19</v>
      </c>
      <c r="O6" s="566">
        <v>2</v>
      </c>
      <c r="P6" s="566">
        <f t="shared" ref="P6:P45" si="1">SUM(J6:O6)</f>
        <v>70</v>
      </c>
      <c r="Q6" s="567">
        <f t="shared" ref="Q6:Q71" si="2">SUM(I6,P6)</f>
        <v>201</v>
      </c>
    </row>
    <row r="7" spans="1:17" s="226" customFormat="1" x14ac:dyDescent="0.15">
      <c r="A7" s="226">
        <v>3</v>
      </c>
      <c r="B7" s="249" t="s">
        <v>499</v>
      </c>
      <c r="C7" s="566"/>
      <c r="D7" s="566">
        <v>1</v>
      </c>
      <c r="E7" s="566"/>
      <c r="F7" s="566">
        <v>5</v>
      </c>
      <c r="G7" s="566">
        <v>3</v>
      </c>
      <c r="H7" s="566">
        <v>2</v>
      </c>
      <c r="I7" s="566">
        <f t="shared" si="0"/>
        <v>11</v>
      </c>
      <c r="J7" s="566">
        <v>1</v>
      </c>
      <c r="K7" s="566">
        <v>1</v>
      </c>
      <c r="L7" s="566">
        <v>2</v>
      </c>
      <c r="M7" s="566">
        <v>2</v>
      </c>
      <c r="N7" s="566">
        <v>2</v>
      </c>
      <c r="O7" s="566"/>
      <c r="P7" s="566">
        <f t="shared" si="1"/>
        <v>8</v>
      </c>
      <c r="Q7" s="567">
        <f t="shared" si="2"/>
        <v>19</v>
      </c>
    </row>
    <row r="8" spans="1:17" s="226" customFormat="1" x14ac:dyDescent="0.15">
      <c r="A8" s="226">
        <v>4</v>
      </c>
      <c r="B8" s="249" t="s">
        <v>500</v>
      </c>
      <c r="C8" s="566"/>
      <c r="D8" s="566"/>
      <c r="E8" s="566">
        <v>3</v>
      </c>
      <c r="F8" s="566">
        <v>9</v>
      </c>
      <c r="G8" s="566">
        <v>5</v>
      </c>
      <c r="H8" s="566">
        <v>1</v>
      </c>
      <c r="I8" s="566">
        <f t="shared" si="0"/>
        <v>18</v>
      </c>
      <c r="J8" s="566">
        <v>1</v>
      </c>
      <c r="K8" s="566">
        <v>1</v>
      </c>
      <c r="L8" s="566"/>
      <c r="M8" s="566">
        <v>2</v>
      </c>
      <c r="N8" s="566">
        <v>4</v>
      </c>
      <c r="O8" s="566"/>
      <c r="P8" s="566">
        <f t="shared" si="1"/>
        <v>8</v>
      </c>
      <c r="Q8" s="567">
        <f t="shared" si="2"/>
        <v>26</v>
      </c>
    </row>
    <row r="9" spans="1:17" s="226" customFormat="1" x14ac:dyDescent="0.15">
      <c r="A9" s="226">
        <v>5</v>
      </c>
      <c r="B9" s="249" t="s">
        <v>501</v>
      </c>
      <c r="C9" s="566">
        <v>2</v>
      </c>
      <c r="D9" s="566">
        <v>10</v>
      </c>
      <c r="E9" s="566">
        <v>26</v>
      </c>
      <c r="F9" s="566">
        <v>91</v>
      </c>
      <c r="G9" s="566">
        <v>88</v>
      </c>
      <c r="H9" s="566">
        <v>22</v>
      </c>
      <c r="I9" s="566">
        <f t="shared" si="0"/>
        <v>239</v>
      </c>
      <c r="J9" s="566">
        <v>15</v>
      </c>
      <c r="K9" s="566">
        <v>32</v>
      </c>
      <c r="L9" s="566">
        <v>48</v>
      </c>
      <c r="M9" s="566">
        <v>62</v>
      </c>
      <c r="N9" s="566">
        <v>43</v>
      </c>
      <c r="O9" s="566">
        <v>6</v>
      </c>
      <c r="P9" s="566">
        <f t="shared" si="1"/>
        <v>206</v>
      </c>
      <c r="Q9" s="567">
        <f t="shared" si="2"/>
        <v>445</v>
      </c>
    </row>
    <row r="10" spans="1:17" s="226" customFormat="1" x14ac:dyDescent="0.15">
      <c r="A10" s="226">
        <v>6</v>
      </c>
      <c r="B10" s="249" t="s">
        <v>502</v>
      </c>
      <c r="C10" s="566">
        <v>5</v>
      </c>
      <c r="D10" s="566">
        <v>12</v>
      </c>
      <c r="E10" s="566">
        <v>52</v>
      </c>
      <c r="F10" s="566">
        <v>111</v>
      </c>
      <c r="G10" s="566">
        <v>70</v>
      </c>
      <c r="H10" s="566">
        <v>9</v>
      </c>
      <c r="I10" s="566">
        <f t="shared" si="0"/>
        <v>259</v>
      </c>
      <c r="J10" s="566">
        <v>8</v>
      </c>
      <c r="K10" s="566">
        <v>23</v>
      </c>
      <c r="L10" s="566">
        <v>38</v>
      </c>
      <c r="M10" s="566">
        <v>58</v>
      </c>
      <c r="N10" s="566">
        <v>41</v>
      </c>
      <c r="O10" s="566">
        <v>3</v>
      </c>
      <c r="P10" s="566">
        <f t="shared" si="1"/>
        <v>171</v>
      </c>
      <c r="Q10" s="567">
        <f t="shared" si="2"/>
        <v>430</v>
      </c>
    </row>
    <row r="11" spans="1:17" s="226" customFormat="1" x14ac:dyDescent="0.15">
      <c r="A11" s="226">
        <v>7</v>
      </c>
      <c r="B11" s="249" t="s">
        <v>503</v>
      </c>
      <c r="C11" s="566">
        <v>1</v>
      </c>
      <c r="D11" s="566">
        <v>6</v>
      </c>
      <c r="E11" s="566">
        <v>7</v>
      </c>
      <c r="F11" s="566">
        <v>24</v>
      </c>
      <c r="G11" s="566">
        <v>16</v>
      </c>
      <c r="H11" s="566">
        <v>5</v>
      </c>
      <c r="I11" s="566">
        <f t="shared" si="0"/>
        <v>59</v>
      </c>
      <c r="J11" s="566"/>
      <c r="K11" s="566">
        <v>5</v>
      </c>
      <c r="L11" s="566">
        <v>9</v>
      </c>
      <c r="M11" s="566">
        <v>18</v>
      </c>
      <c r="N11" s="566">
        <v>9</v>
      </c>
      <c r="O11" s="566">
        <v>3</v>
      </c>
      <c r="P11" s="566">
        <f t="shared" si="1"/>
        <v>44</v>
      </c>
      <c r="Q11" s="567">
        <f t="shared" si="2"/>
        <v>103</v>
      </c>
    </row>
    <row r="12" spans="1:17" s="226" customFormat="1" x14ac:dyDescent="0.15">
      <c r="A12" s="226">
        <v>8</v>
      </c>
      <c r="B12" s="249" t="s">
        <v>504</v>
      </c>
      <c r="C12" s="566">
        <v>3</v>
      </c>
      <c r="D12" s="566">
        <v>10</v>
      </c>
      <c r="E12" s="566">
        <v>40</v>
      </c>
      <c r="F12" s="566">
        <v>145</v>
      </c>
      <c r="G12" s="566">
        <v>131</v>
      </c>
      <c r="H12" s="566">
        <v>23</v>
      </c>
      <c r="I12" s="566">
        <f t="shared" si="0"/>
        <v>352</v>
      </c>
      <c r="J12" s="566">
        <v>4</v>
      </c>
      <c r="K12" s="566">
        <v>18</v>
      </c>
      <c r="L12" s="566">
        <v>39</v>
      </c>
      <c r="M12" s="566">
        <v>89</v>
      </c>
      <c r="N12" s="566">
        <v>56</v>
      </c>
      <c r="O12" s="566">
        <v>5</v>
      </c>
      <c r="P12" s="566">
        <f t="shared" si="1"/>
        <v>211</v>
      </c>
      <c r="Q12" s="567">
        <f t="shared" si="2"/>
        <v>563</v>
      </c>
    </row>
    <row r="13" spans="1:17" s="226" customFormat="1" x14ac:dyDescent="0.15">
      <c r="A13" s="226">
        <v>9</v>
      </c>
      <c r="B13" s="249" t="s">
        <v>571</v>
      </c>
      <c r="C13" s="566"/>
      <c r="D13" s="566"/>
      <c r="E13" s="566">
        <v>1</v>
      </c>
      <c r="F13" s="566">
        <v>7</v>
      </c>
      <c r="G13" s="566">
        <v>9</v>
      </c>
      <c r="H13" s="566">
        <v>1</v>
      </c>
      <c r="I13" s="566">
        <f t="shared" si="0"/>
        <v>18</v>
      </c>
      <c r="J13" s="566">
        <v>1</v>
      </c>
      <c r="K13" s="566">
        <v>1</v>
      </c>
      <c r="L13" s="566">
        <v>3</v>
      </c>
      <c r="M13" s="566">
        <v>3</v>
      </c>
      <c r="N13" s="566">
        <v>3</v>
      </c>
      <c r="O13" s="566"/>
      <c r="P13" s="566">
        <f t="shared" si="1"/>
        <v>11</v>
      </c>
      <c r="Q13" s="567">
        <f t="shared" si="2"/>
        <v>29</v>
      </c>
    </row>
    <row r="14" spans="1:17" s="226" customFormat="1" x14ac:dyDescent="0.15">
      <c r="A14" s="226">
        <v>10</v>
      </c>
      <c r="B14" s="249" t="s">
        <v>572</v>
      </c>
      <c r="C14" s="566"/>
      <c r="D14" s="566">
        <v>15</v>
      </c>
      <c r="E14" s="566">
        <v>61</v>
      </c>
      <c r="F14" s="566">
        <v>121</v>
      </c>
      <c r="G14" s="566">
        <v>87</v>
      </c>
      <c r="H14" s="566">
        <v>20</v>
      </c>
      <c r="I14" s="566">
        <f t="shared" si="0"/>
        <v>304</v>
      </c>
      <c r="J14" s="566">
        <v>10</v>
      </c>
      <c r="K14" s="566">
        <v>34</v>
      </c>
      <c r="L14" s="566">
        <v>52</v>
      </c>
      <c r="M14" s="566">
        <v>83</v>
      </c>
      <c r="N14" s="566">
        <v>53</v>
      </c>
      <c r="O14" s="566">
        <v>23</v>
      </c>
      <c r="P14" s="566">
        <f t="shared" si="1"/>
        <v>255</v>
      </c>
      <c r="Q14" s="567">
        <f t="shared" si="2"/>
        <v>559</v>
      </c>
    </row>
    <row r="15" spans="1:17" s="226" customFormat="1" x14ac:dyDescent="0.15">
      <c r="A15" s="226">
        <v>11</v>
      </c>
      <c r="B15" s="249" t="s">
        <v>505</v>
      </c>
      <c r="C15" s="566">
        <v>2</v>
      </c>
      <c r="D15" s="566">
        <v>10</v>
      </c>
      <c r="E15" s="566">
        <v>32</v>
      </c>
      <c r="F15" s="566">
        <v>104</v>
      </c>
      <c r="G15" s="566">
        <v>75</v>
      </c>
      <c r="H15" s="566">
        <v>15</v>
      </c>
      <c r="I15" s="566">
        <f t="shared" si="0"/>
        <v>238</v>
      </c>
      <c r="J15" s="566">
        <v>3</v>
      </c>
      <c r="K15" s="566">
        <v>16</v>
      </c>
      <c r="L15" s="566">
        <v>32</v>
      </c>
      <c r="M15" s="566">
        <v>83</v>
      </c>
      <c r="N15" s="566">
        <v>49</v>
      </c>
      <c r="O15" s="566">
        <v>5</v>
      </c>
      <c r="P15" s="566">
        <f t="shared" si="1"/>
        <v>188</v>
      </c>
      <c r="Q15" s="567">
        <f t="shared" si="2"/>
        <v>426</v>
      </c>
    </row>
    <row r="16" spans="1:17" s="226" customFormat="1" x14ac:dyDescent="0.15">
      <c r="A16" s="226">
        <v>12</v>
      </c>
      <c r="B16" s="249" t="s">
        <v>506</v>
      </c>
      <c r="C16" s="566">
        <v>1</v>
      </c>
      <c r="D16" s="566">
        <v>12</v>
      </c>
      <c r="E16" s="566">
        <v>22</v>
      </c>
      <c r="F16" s="566">
        <v>65</v>
      </c>
      <c r="G16" s="566">
        <v>37</v>
      </c>
      <c r="H16" s="566">
        <v>8</v>
      </c>
      <c r="I16" s="566">
        <f t="shared" si="0"/>
        <v>145</v>
      </c>
      <c r="J16" s="566">
        <v>10</v>
      </c>
      <c r="K16" s="566">
        <v>24</v>
      </c>
      <c r="L16" s="566">
        <v>32</v>
      </c>
      <c r="M16" s="566">
        <v>30</v>
      </c>
      <c r="N16" s="566">
        <v>29</v>
      </c>
      <c r="O16" s="566">
        <v>2</v>
      </c>
      <c r="P16" s="566">
        <f t="shared" si="1"/>
        <v>127</v>
      </c>
      <c r="Q16" s="567">
        <f t="shared" si="2"/>
        <v>272</v>
      </c>
    </row>
    <row r="17" spans="1:17" s="226" customFormat="1" x14ac:dyDescent="0.15">
      <c r="A17" s="226">
        <v>13</v>
      </c>
      <c r="B17" s="249" t="s">
        <v>507</v>
      </c>
      <c r="C17" s="566"/>
      <c r="D17" s="566">
        <v>1</v>
      </c>
      <c r="E17" s="566">
        <v>6</v>
      </c>
      <c r="F17" s="566">
        <v>13</v>
      </c>
      <c r="G17" s="566">
        <v>12</v>
      </c>
      <c r="H17" s="566">
        <v>2</v>
      </c>
      <c r="I17" s="566">
        <f t="shared" si="0"/>
        <v>34</v>
      </c>
      <c r="J17" s="566">
        <v>7</v>
      </c>
      <c r="K17" s="566">
        <v>5</v>
      </c>
      <c r="L17" s="566">
        <v>9</v>
      </c>
      <c r="M17" s="566">
        <v>12</v>
      </c>
      <c r="N17" s="566">
        <v>5</v>
      </c>
      <c r="O17" s="566">
        <v>2</v>
      </c>
      <c r="P17" s="566">
        <f t="shared" si="1"/>
        <v>40</v>
      </c>
      <c r="Q17" s="567">
        <f t="shared" si="2"/>
        <v>74</v>
      </c>
    </row>
    <row r="18" spans="1:17" s="226" customFormat="1" x14ac:dyDescent="0.15">
      <c r="A18" s="226">
        <v>14</v>
      </c>
      <c r="B18" s="249" t="s">
        <v>573</v>
      </c>
      <c r="C18" s="566"/>
      <c r="D18" s="566">
        <v>1</v>
      </c>
      <c r="E18" s="566">
        <v>13</v>
      </c>
      <c r="F18" s="566">
        <v>27</v>
      </c>
      <c r="G18" s="566">
        <v>15</v>
      </c>
      <c r="H18" s="566">
        <v>6</v>
      </c>
      <c r="I18" s="566">
        <f t="shared" si="0"/>
        <v>62</v>
      </c>
      <c r="J18" s="566">
        <v>1</v>
      </c>
      <c r="K18" s="566">
        <v>7</v>
      </c>
      <c r="L18" s="566">
        <v>3</v>
      </c>
      <c r="M18" s="566">
        <v>12</v>
      </c>
      <c r="N18" s="566">
        <v>9</v>
      </c>
      <c r="O18" s="566">
        <v>2</v>
      </c>
      <c r="P18" s="566">
        <f t="shared" si="1"/>
        <v>34</v>
      </c>
      <c r="Q18" s="567">
        <f t="shared" si="2"/>
        <v>96</v>
      </c>
    </row>
    <row r="19" spans="1:17" s="226" customFormat="1" x14ac:dyDescent="0.15">
      <c r="A19" s="226">
        <v>15</v>
      </c>
      <c r="B19" s="249" t="s">
        <v>574</v>
      </c>
      <c r="C19" s="566">
        <v>1</v>
      </c>
      <c r="D19" s="566">
        <v>2</v>
      </c>
      <c r="E19" s="566">
        <v>8</v>
      </c>
      <c r="F19" s="566">
        <v>17</v>
      </c>
      <c r="G19" s="566">
        <v>13</v>
      </c>
      <c r="H19" s="566">
        <v>3</v>
      </c>
      <c r="I19" s="566">
        <f t="shared" si="0"/>
        <v>44</v>
      </c>
      <c r="J19" s="566">
        <v>2</v>
      </c>
      <c r="K19" s="566">
        <v>6</v>
      </c>
      <c r="L19" s="566">
        <v>16</v>
      </c>
      <c r="M19" s="566">
        <v>26</v>
      </c>
      <c r="N19" s="566">
        <v>7</v>
      </c>
      <c r="O19" s="566">
        <v>4</v>
      </c>
      <c r="P19" s="566">
        <f t="shared" si="1"/>
        <v>61</v>
      </c>
      <c r="Q19" s="567">
        <f t="shared" si="2"/>
        <v>105</v>
      </c>
    </row>
    <row r="20" spans="1:17" s="226" customFormat="1" x14ac:dyDescent="0.15">
      <c r="A20" s="226">
        <v>16</v>
      </c>
      <c r="B20" s="249" t="s">
        <v>575</v>
      </c>
      <c r="C20" s="566">
        <v>2</v>
      </c>
      <c r="D20" s="566">
        <v>3</v>
      </c>
      <c r="E20" s="566">
        <v>11</v>
      </c>
      <c r="F20" s="566">
        <v>48</v>
      </c>
      <c r="G20" s="566">
        <v>41</v>
      </c>
      <c r="H20" s="566">
        <v>9</v>
      </c>
      <c r="I20" s="566">
        <f t="shared" si="0"/>
        <v>114</v>
      </c>
      <c r="J20" s="566">
        <v>4</v>
      </c>
      <c r="K20" s="566">
        <v>12</v>
      </c>
      <c r="L20" s="566">
        <v>14</v>
      </c>
      <c r="M20" s="566">
        <v>24</v>
      </c>
      <c r="N20" s="566">
        <v>18</v>
      </c>
      <c r="O20" s="566">
        <v>3</v>
      </c>
      <c r="P20" s="566">
        <f t="shared" si="1"/>
        <v>75</v>
      </c>
      <c r="Q20" s="567">
        <f t="shared" si="2"/>
        <v>189</v>
      </c>
    </row>
    <row r="21" spans="1:17" s="226" customFormat="1" x14ac:dyDescent="0.15">
      <c r="A21" s="226">
        <v>17</v>
      </c>
      <c r="B21" s="249" t="s">
        <v>576</v>
      </c>
      <c r="C21" s="566"/>
      <c r="D21" s="566">
        <v>9</v>
      </c>
      <c r="E21" s="566">
        <v>8</v>
      </c>
      <c r="F21" s="566">
        <v>31</v>
      </c>
      <c r="G21" s="566">
        <v>29</v>
      </c>
      <c r="H21" s="566">
        <v>12</v>
      </c>
      <c r="I21" s="566">
        <f t="shared" si="0"/>
        <v>89</v>
      </c>
      <c r="J21" s="566">
        <v>1</v>
      </c>
      <c r="K21" s="566">
        <v>8</v>
      </c>
      <c r="L21" s="566">
        <v>13</v>
      </c>
      <c r="M21" s="566">
        <v>27</v>
      </c>
      <c r="N21" s="566">
        <v>14</v>
      </c>
      <c r="O21" s="566">
        <v>3</v>
      </c>
      <c r="P21" s="566">
        <f t="shared" si="1"/>
        <v>66</v>
      </c>
      <c r="Q21" s="567">
        <f t="shared" si="2"/>
        <v>155</v>
      </c>
    </row>
    <row r="22" spans="1:17" s="226" customFormat="1" x14ac:dyDescent="0.15">
      <c r="A22" s="226">
        <v>18</v>
      </c>
      <c r="B22" s="249" t="s">
        <v>508</v>
      </c>
      <c r="C22" s="566">
        <v>3</v>
      </c>
      <c r="D22" s="566">
        <v>47</v>
      </c>
      <c r="E22" s="566">
        <v>96</v>
      </c>
      <c r="F22" s="566">
        <v>165</v>
      </c>
      <c r="G22" s="566">
        <v>62</v>
      </c>
      <c r="H22" s="566">
        <v>9</v>
      </c>
      <c r="I22" s="566">
        <f t="shared" si="0"/>
        <v>382</v>
      </c>
      <c r="J22" s="566">
        <v>9</v>
      </c>
      <c r="K22" s="566">
        <v>59</v>
      </c>
      <c r="L22" s="566">
        <v>102</v>
      </c>
      <c r="M22" s="566">
        <v>104</v>
      </c>
      <c r="N22" s="566">
        <v>58</v>
      </c>
      <c r="O22" s="566">
        <v>4</v>
      </c>
      <c r="P22" s="566">
        <f t="shared" si="1"/>
        <v>336</v>
      </c>
      <c r="Q22" s="567">
        <f t="shared" si="2"/>
        <v>718</v>
      </c>
    </row>
    <row r="23" spans="1:17" s="226" customFormat="1" x14ac:dyDescent="0.15">
      <c r="A23" s="226">
        <v>19</v>
      </c>
      <c r="B23" s="249" t="s">
        <v>509</v>
      </c>
      <c r="C23" s="566">
        <v>3</v>
      </c>
      <c r="D23" s="566">
        <v>20</v>
      </c>
      <c r="E23" s="566">
        <v>38</v>
      </c>
      <c r="F23" s="566">
        <v>82</v>
      </c>
      <c r="G23" s="566">
        <v>29</v>
      </c>
      <c r="H23" s="566">
        <v>5</v>
      </c>
      <c r="I23" s="566">
        <f t="shared" si="0"/>
        <v>177</v>
      </c>
      <c r="J23" s="566">
        <v>23</v>
      </c>
      <c r="K23" s="566">
        <v>46</v>
      </c>
      <c r="L23" s="566">
        <v>39</v>
      </c>
      <c r="M23" s="566">
        <v>58</v>
      </c>
      <c r="N23" s="566">
        <v>19</v>
      </c>
      <c r="O23" s="566">
        <v>4</v>
      </c>
      <c r="P23" s="566">
        <f t="shared" si="1"/>
        <v>189</v>
      </c>
      <c r="Q23" s="567">
        <f t="shared" si="2"/>
        <v>366</v>
      </c>
    </row>
    <row r="24" spans="1:17" s="226" customFormat="1" x14ac:dyDescent="0.15">
      <c r="A24" s="226">
        <v>20</v>
      </c>
      <c r="B24" s="249" t="s">
        <v>510</v>
      </c>
      <c r="C24" s="566"/>
      <c r="D24" s="566">
        <v>3</v>
      </c>
      <c r="E24" s="566">
        <v>7</v>
      </c>
      <c r="F24" s="566">
        <v>22</v>
      </c>
      <c r="G24" s="566">
        <v>12</v>
      </c>
      <c r="H24" s="566">
        <v>6</v>
      </c>
      <c r="I24" s="566">
        <f t="shared" si="0"/>
        <v>50</v>
      </c>
      <c r="J24" s="566">
        <v>6</v>
      </c>
      <c r="K24" s="566">
        <v>7</v>
      </c>
      <c r="L24" s="566">
        <v>14</v>
      </c>
      <c r="M24" s="566">
        <v>13</v>
      </c>
      <c r="N24" s="566">
        <v>5</v>
      </c>
      <c r="O24" s="566"/>
      <c r="P24" s="566">
        <f t="shared" si="1"/>
        <v>45</v>
      </c>
      <c r="Q24" s="567">
        <f t="shared" si="2"/>
        <v>95</v>
      </c>
    </row>
    <row r="25" spans="1:17" s="226" customFormat="1" x14ac:dyDescent="0.15">
      <c r="A25" s="226">
        <v>21</v>
      </c>
      <c r="B25" s="249" t="s">
        <v>511</v>
      </c>
      <c r="C25" s="566"/>
      <c r="D25" s="566">
        <v>2</v>
      </c>
      <c r="E25" s="566">
        <v>19</v>
      </c>
      <c r="F25" s="566">
        <v>73</v>
      </c>
      <c r="G25" s="566">
        <v>39</v>
      </c>
      <c r="H25" s="566">
        <v>7</v>
      </c>
      <c r="I25" s="566">
        <f t="shared" si="0"/>
        <v>140</v>
      </c>
      <c r="J25" s="566">
        <v>1</v>
      </c>
      <c r="K25" s="566">
        <v>12</v>
      </c>
      <c r="L25" s="566">
        <v>20</v>
      </c>
      <c r="M25" s="566">
        <v>35</v>
      </c>
      <c r="N25" s="566">
        <v>26</v>
      </c>
      <c r="O25" s="566"/>
      <c r="P25" s="566">
        <f t="shared" si="1"/>
        <v>94</v>
      </c>
      <c r="Q25" s="567">
        <f t="shared" si="2"/>
        <v>234</v>
      </c>
    </row>
    <row r="26" spans="1:17" s="226" customFormat="1" x14ac:dyDescent="0.15">
      <c r="A26" s="226">
        <v>22</v>
      </c>
      <c r="B26" s="249" t="s">
        <v>512</v>
      </c>
      <c r="C26" s="566">
        <v>2</v>
      </c>
      <c r="D26" s="566">
        <v>2</v>
      </c>
      <c r="E26" s="566">
        <v>5</v>
      </c>
      <c r="F26" s="566">
        <v>18</v>
      </c>
      <c r="G26" s="566">
        <v>5</v>
      </c>
      <c r="H26" s="566"/>
      <c r="I26" s="566">
        <f t="shared" si="0"/>
        <v>32</v>
      </c>
      <c r="J26" s="566">
        <v>2</v>
      </c>
      <c r="K26" s="566">
        <v>12</v>
      </c>
      <c r="L26" s="566">
        <v>12</v>
      </c>
      <c r="M26" s="566">
        <v>15</v>
      </c>
      <c r="N26" s="566">
        <v>4</v>
      </c>
      <c r="O26" s="566"/>
      <c r="P26" s="566">
        <f t="shared" si="1"/>
        <v>45</v>
      </c>
      <c r="Q26" s="567">
        <f t="shared" si="2"/>
        <v>77</v>
      </c>
    </row>
    <row r="27" spans="1:17" s="226" customFormat="1" x14ac:dyDescent="0.15">
      <c r="A27" s="226">
        <v>23</v>
      </c>
      <c r="B27" s="249" t="s">
        <v>513</v>
      </c>
      <c r="C27" s="566"/>
      <c r="D27" s="566">
        <v>4</v>
      </c>
      <c r="E27" s="566">
        <v>25</v>
      </c>
      <c r="F27" s="566">
        <v>56</v>
      </c>
      <c r="G27" s="566">
        <v>18</v>
      </c>
      <c r="H27" s="566">
        <v>2</v>
      </c>
      <c r="I27" s="566">
        <f t="shared" si="0"/>
        <v>105</v>
      </c>
      <c r="J27" s="566">
        <v>1</v>
      </c>
      <c r="K27" s="566">
        <v>8</v>
      </c>
      <c r="L27" s="566">
        <v>15</v>
      </c>
      <c r="M27" s="566">
        <v>37</v>
      </c>
      <c r="N27" s="566">
        <v>6</v>
      </c>
      <c r="O27" s="566">
        <v>2</v>
      </c>
      <c r="P27" s="566">
        <f t="shared" si="1"/>
        <v>69</v>
      </c>
      <c r="Q27" s="567">
        <f t="shared" si="2"/>
        <v>174</v>
      </c>
    </row>
    <row r="28" spans="1:17" s="226" customFormat="1" x14ac:dyDescent="0.15">
      <c r="A28" s="226">
        <v>24</v>
      </c>
      <c r="B28" s="249" t="s">
        <v>514</v>
      </c>
      <c r="C28" s="566"/>
      <c r="D28" s="566">
        <v>2</v>
      </c>
      <c r="E28" s="566">
        <v>13</v>
      </c>
      <c r="F28" s="566">
        <v>27</v>
      </c>
      <c r="G28" s="566">
        <v>19</v>
      </c>
      <c r="H28" s="566">
        <v>6</v>
      </c>
      <c r="I28" s="566">
        <f t="shared" si="0"/>
        <v>67</v>
      </c>
      <c r="J28" s="566">
        <v>3</v>
      </c>
      <c r="K28" s="566">
        <v>8</v>
      </c>
      <c r="L28" s="566">
        <v>12</v>
      </c>
      <c r="M28" s="566">
        <v>10</v>
      </c>
      <c r="N28" s="566">
        <v>5</v>
      </c>
      <c r="O28" s="566"/>
      <c r="P28" s="566">
        <f t="shared" si="1"/>
        <v>38</v>
      </c>
      <c r="Q28" s="567">
        <f t="shared" si="2"/>
        <v>105</v>
      </c>
    </row>
    <row r="29" spans="1:17" s="226" customFormat="1" x14ac:dyDescent="0.15">
      <c r="A29" s="226">
        <v>25</v>
      </c>
      <c r="B29" s="249" t="s">
        <v>515</v>
      </c>
      <c r="C29" s="566">
        <v>1</v>
      </c>
      <c r="D29" s="566">
        <v>19</v>
      </c>
      <c r="E29" s="566">
        <v>15</v>
      </c>
      <c r="F29" s="566">
        <v>61</v>
      </c>
      <c r="G29" s="566">
        <v>25</v>
      </c>
      <c r="H29" s="566">
        <v>5</v>
      </c>
      <c r="I29" s="566">
        <f t="shared" si="0"/>
        <v>126</v>
      </c>
      <c r="J29" s="566">
        <v>7</v>
      </c>
      <c r="K29" s="566">
        <v>15</v>
      </c>
      <c r="L29" s="566">
        <v>11</v>
      </c>
      <c r="M29" s="566">
        <v>32</v>
      </c>
      <c r="N29" s="566">
        <v>15</v>
      </c>
      <c r="O29" s="566">
        <v>5</v>
      </c>
      <c r="P29" s="566">
        <f t="shared" si="1"/>
        <v>85</v>
      </c>
      <c r="Q29" s="567">
        <f t="shared" si="2"/>
        <v>211</v>
      </c>
    </row>
    <row r="30" spans="1:17" s="226" customFormat="1" x14ac:dyDescent="0.15">
      <c r="A30" s="226">
        <v>26</v>
      </c>
      <c r="B30" s="249" t="s">
        <v>516</v>
      </c>
      <c r="C30" s="566"/>
      <c r="D30" s="566"/>
      <c r="E30" s="566">
        <v>3</v>
      </c>
      <c r="F30" s="566">
        <v>1</v>
      </c>
      <c r="G30" s="566"/>
      <c r="H30" s="566">
        <v>1</v>
      </c>
      <c r="I30" s="566">
        <f t="shared" si="0"/>
        <v>5</v>
      </c>
      <c r="J30" s="566"/>
      <c r="K30" s="566">
        <v>1</v>
      </c>
      <c r="L30" s="566">
        <v>1</v>
      </c>
      <c r="M30" s="566">
        <v>5</v>
      </c>
      <c r="N30" s="566">
        <v>4</v>
      </c>
      <c r="O30" s="566">
        <v>1</v>
      </c>
      <c r="P30" s="566">
        <f t="shared" si="1"/>
        <v>12</v>
      </c>
      <c r="Q30" s="567">
        <f t="shared" si="2"/>
        <v>17</v>
      </c>
    </row>
    <row r="31" spans="1:17" s="226" customFormat="1" x14ac:dyDescent="0.15">
      <c r="A31" s="226">
        <v>27</v>
      </c>
      <c r="B31" s="249" t="s">
        <v>517</v>
      </c>
      <c r="C31" s="566"/>
      <c r="D31" s="566"/>
      <c r="E31" s="566">
        <v>3</v>
      </c>
      <c r="F31" s="566">
        <v>4</v>
      </c>
      <c r="G31" s="566">
        <v>1</v>
      </c>
      <c r="H31" s="566">
        <v>1</v>
      </c>
      <c r="I31" s="566">
        <f t="shared" si="0"/>
        <v>9</v>
      </c>
      <c r="J31" s="566"/>
      <c r="K31" s="566">
        <v>1</v>
      </c>
      <c r="L31" s="566">
        <v>2</v>
      </c>
      <c r="M31" s="566">
        <v>3</v>
      </c>
      <c r="N31" s="566">
        <v>1</v>
      </c>
      <c r="O31" s="566"/>
      <c r="P31" s="566">
        <f t="shared" si="1"/>
        <v>7</v>
      </c>
      <c r="Q31" s="567">
        <f t="shared" si="2"/>
        <v>16</v>
      </c>
    </row>
    <row r="32" spans="1:17" s="226" customFormat="1" x14ac:dyDescent="0.15">
      <c r="A32" s="226">
        <v>28</v>
      </c>
      <c r="B32" s="249" t="s">
        <v>518</v>
      </c>
      <c r="C32" s="566">
        <v>1</v>
      </c>
      <c r="D32" s="566"/>
      <c r="E32" s="566">
        <v>1</v>
      </c>
      <c r="F32" s="566">
        <v>2</v>
      </c>
      <c r="G32" s="566">
        <v>2</v>
      </c>
      <c r="H32" s="566"/>
      <c r="I32" s="566">
        <f t="shared" si="0"/>
        <v>6</v>
      </c>
      <c r="J32" s="566"/>
      <c r="K32" s="566">
        <v>1</v>
      </c>
      <c r="L32" s="566">
        <v>1</v>
      </c>
      <c r="M32" s="566">
        <v>1</v>
      </c>
      <c r="N32" s="566">
        <v>1</v>
      </c>
      <c r="O32" s="566"/>
      <c r="P32" s="566">
        <f t="shared" si="1"/>
        <v>4</v>
      </c>
      <c r="Q32" s="567">
        <f t="shared" si="2"/>
        <v>10</v>
      </c>
    </row>
    <row r="33" spans="1:17" s="226" customFormat="1" x14ac:dyDescent="0.15">
      <c r="A33" s="226">
        <v>29</v>
      </c>
      <c r="B33" s="249" t="s">
        <v>519</v>
      </c>
      <c r="C33" s="566">
        <v>2</v>
      </c>
      <c r="D33" s="566">
        <v>10</v>
      </c>
      <c r="E33" s="566">
        <v>13</v>
      </c>
      <c r="F33" s="566">
        <v>47</v>
      </c>
      <c r="G33" s="566">
        <v>24</v>
      </c>
      <c r="H33" s="566">
        <v>7</v>
      </c>
      <c r="I33" s="566">
        <f t="shared" si="0"/>
        <v>103</v>
      </c>
      <c r="J33" s="566">
        <v>9</v>
      </c>
      <c r="K33" s="566">
        <v>9</v>
      </c>
      <c r="L33" s="566">
        <v>20</v>
      </c>
      <c r="M33" s="566">
        <v>22</v>
      </c>
      <c r="N33" s="566">
        <v>17</v>
      </c>
      <c r="O33" s="566">
        <v>1</v>
      </c>
      <c r="P33" s="566">
        <f t="shared" si="1"/>
        <v>78</v>
      </c>
      <c r="Q33" s="567">
        <f t="shared" si="2"/>
        <v>181</v>
      </c>
    </row>
    <row r="34" spans="1:17" s="226" customFormat="1" x14ac:dyDescent="0.15">
      <c r="A34" s="226">
        <v>31</v>
      </c>
      <c r="B34" s="249" t="s">
        <v>520</v>
      </c>
      <c r="C34" s="566">
        <v>1</v>
      </c>
      <c r="D34" s="566">
        <v>17</v>
      </c>
      <c r="E34" s="566">
        <v>36</v>
      </c>
      <c r="F34" s="566">
        <v>102</v>
      </c>
      <c r="G34" s="566">
        <v>79</v>
      </c>
      <c r="H34" s="566">
        <v>10</v>
      </c>
      <c r="I34" s="566">
        <f t="shared" si="0"/>
        <v>245</v>
      </c>
      <c r="J34" s="566">
        <v>6</v>
      </c>
      <c r="K34" s="566">
        <v>34</v>
      </c>
      <c r="L34" s="566">
        <v>46</v>
      </c>
      <c r="M34" s="566">
        <v>54</v>
      </c>
      <c r="N34" s="566">
        <v>44</v>
      </c>
      <c r="O34" s="566">
        <v>2</v>
      </c>
      <c r="P34" s="566">
        <f t="shared" si="1"/>
        <v>186</v>
      </c>
      <c r="Q34" s="567">
        <f t="shared" si="2"/>
        <v>431</v>
      </c>
    </row>
    <row r="35" spans="1:17" s="226" customFormat="1" x14ac:dyDescent="0.15">
      <c r="A35" s="226">
        <v>32</v>
      </c>
      <c r="B35" s="249" t="s">
        <v>521</v>
      </c>
      <c r="C35" s="566"/>
      <c r="D35" s="566">
        <v>6</v>
      </c>
      <c r="E35" s="566">
        <v>16</v>
      </c>
      <c r="F35" s="566">
        <v>50</v>
      </c>
      <c r="G35" s="566">
        <v>31</v>
      </c>
      <c r="H35" s="566">
        <v>1</v>
      </c>
      <c r="I35" s="566">
        <f t="shared" si="0"/>
        <v>104</v>
      </c>
      <c r="J35" s="566">
        <v>1</v>
      </c>
      <c r="K35" s="566">
        <v>7</v>
      </c>
      <c r="L35" s="566">
        <v>21</v>
      </c>
      <c r="M35" s="566">
        <v>27</v>
      </c>
      <c r="N35" s="566">
        <v>17</v>
      </c>
      <c r="O35" s="566">
        <v>1</v>
      </c>
      <c r="P35" s="566">
        <f t="shared" si="1"/>
        <v>74</v>
      </c>
      <c r="Q35" s="567">
        <f t="shared" si="2"/>
        <v>178</v>
      </c>
    </row>
    <row r="36" spans="1:17" s="226" customFormat="1" x14ac:dyDescent="0.15">
      <c r="A36" s="226">
        <v>33</v>
      </c>
      <c r="B36" s="249" t="s">
        <v>522</v>
      </c>
      <c r="C36" s="566"/>
      <c r="D36" s="566">
        <v>2</v>
      </c>
      <c r="E36" s="566">
        <v>26</v>
      </c>
      <c r="F36" s="566">
        <v>105</v>
      </c>
      <c r="G36" s="566">
        <v>60</v>
      </c>
      <c r="H36" s="566">
        <v>11</v>
      </c>
      <c r="I36" s="566">
        <f t="shared" si="0"/>
        <v>204</v>
      </c>
      <c r="J36" s="566"/>
      <c r="K36" s="566">
        <v>8</v>
      </c>
      <c r="L36" s="566">
        <v>17</v>
      </c>
      <c r="M36" s="566">
        <v>32</v>
      </c>
      <c r="N36" s="566">
        <v>10</v>
      </c>
      <c r="O36" s="566">
        <v>1</v>
      </c>
      <c r="P36" s="566">
        <f t="shared" si="1"/>
        <v>68</v>
      </c>
      <c r="Q36" s="567">
        <f t="shared" si="2"/>
        <v>272</v>
      </c>
    </row>
    <row r="37" spans="1:17" s="226" customFormat="1" x14ac:dyDescent="0.15">
      <c r="A37" s="226">
        <v>34</v>
      </c>
      <c r="B37" s="249" t="s">
        <v>523</v>
      </c>
      <c r="C37" s="566"/>
      <c r="D37" s="566">
        <v>1</v>
      </c>
      <c r="E37" s="566">
        <v>4</v>
      </c>
      <c r="F37" s="566">
        <v>18</v>
      </c>
      <c r="G37" s="566">
        <v>9</v>
      </c>
      <c r="H37" s="566"/>
      <c r="I37" s="566">
        <f t="shared" si="0"/>
        <v>32</v>
      </c>
      <c r="J37" s="566"/>
      <c r="K37" s="566"/>
      <c r="L37" s="566">
        <v>4</v>
      </c>
      <c r="M37" s="566">
        <v>1</v>
      </c>
      <c r="N37" s="566">
        <v>3</v>
      </c>
      <c r="O37" s="566"/>
      <c r="P37" s="566">
        <f t="shared" si="1"/>
        <v>8</v>
      </c>
      <c r="Q37" s="567">
        <f t="shared" si="2"/>
        <v>40</v>
      </c>
    </row>
    <row r="38" spans="1:17" s="226" customFormat="1" x14ac:dyDescent="0.15">
      <c r="A38" s="226">
        <v>35</v>
      </c>
      <c r="B38" s="249" t="s">
        <v>524</v>
      </c>
      <c r="C38" s="566">
        <v>2</v>
      </c>
      <c r="D38" s="566">
        <v>21</v>
      </c>
      <c r="E38" s="566">
        <v>63</v>
      </c>
      <c r="F38" s="566">
        <v>153</v>
      </c>
      <c r="G38" s="566">
        <v>216</v>
      </c>
      <c r="H38" s="566">
        <v>23</v>
      </c>
      <c r="I38" s="566">
        <f t="shared" si="0"/>
        <v>478</v>
      </c>
      <c r="J38" s="566">
        <v>6</v>
      </c>
      <c r="K38" s="566">
        <v>25</v>
      </c>
      <c r="L38" s="566">
        <v>61</v>
      </c>
      <c r="M38" s="566">
        <v>62</v>
      </c>
      <c r="N38" s="566">
        <v>92</v>
      </c>
      <c r="O38" s="566">
        <v>6</v>
      </c>
      <c r="P38" s="566">
        <f t="shared" si="1"/>
        <v>252</v>
      </c>
      <c r="Q38" s="567">
        <f t="shared" si="2"/>
        <v>730</v>
      </c>
    </row>
    <row r="39" spans="1:17" s="226" customFormat="1" x14ac:dyDescent="0.15">
      <c r="A39" s="226">
        <v>36</v>
      </c>
      <c r="B39" s="249" t="s">
        <v>525</v>
      </c>
      <c r="C39" s="566">
        <v>1</v>
      </c>
      <c r="D39" s="566">
        <v>9</v>
      </c>
      <c r="E39" s="566">
        <v>59</v>
      </c>
      <c r="F39" s="566">
        <v>215</v>
      </c>
      <c r="G39" s="566">
        <v>134</v>
      </c>
      <c r="H39" s="566">
        <v>34</v>
      </c>
      <c r="I39" s="566">
        <f t="shared" si="0"/>
        <v>452</v>
      </c>
      <c r="J39" s="566">
        <v>1</v>
      </c>
      <c r="K39" s="566">
        <v>7</v>
      </c>
      <c r="L39" s="566">
        <v>29</v>
      </c>
      <c r="M39" s="566">
        <v>54</v>
      </c>
      <c r="N39" s="566">
        <v>47</v>
      </c>
      <c r="O39" s="566">
        <v>5</v>
      </c>
      <c r="P39" s="566">
        <f t="shared" si="1"/>
        <v>143</v>
      </c>
      <c r="Q39" s="567">
        <f t="shared" si="2"/>
        <v>595</v>
      </c>
    </row>
    <row r="40" spans="1:17" s="226" customFormat="1" x14ac:dyDescent="0.15">
      <c r="A40" s="226">
        <v>37</v>
      </c>
      <c r="B40" s="249" t="s">
        <v>526</v>
      </c>
      <c r="C40" s="566"/>
      <c r="D40" s="566">
        <v>2</v>
      </c>
      <c r="E40" s="566">
        <v>9</v>
      </c>
      <c r="F40" s="566">
        <v>49</v>
      </c>
      <c r="G40" s="566">
        <v>32</v>
      </c>
      <c r="H40" s="566">
        <v>4</v>
      </c>
      <c r="I40" s="566">
        <f t="shared" si="0"/>
        <v>96</v>
      </c>
      <c r="J40" s="566">
        <v>1</v>
      </c>
      <c r="K40" s="566">
        <v>9</v>
      </c>
      <c r="L40" s="566">
        <v>10</v>
      </c>
      <c r="M40" s="566">
        <v>18</v>
      </c>
      <c r="N40" s="566">
        <v>16</v>
      </c>
      <c r="O40" s="566">
        <v>1</v>
      </c>
      <c r="P40" s="566">
        <f t="shared" si="1"/>
        <v>55</v>
      </c>
      <c r="Q40" s="567">
        <f t="shared" si="2"/>
        <v>151</v>
      </c>
    </row>
    <row r="41" spans="1:17" s="226" customFormat="1" x14ac:dyDescent="0.15">
      <c r="A41" s="226">
        <v>38</v>
      </c>
      <c r="B41" s="249" t="s">
        <v>527</v>
      </c>
      <c r="C41" s="566"/>
      <c r="D41" s="566">
        <v>5</v>
      </c>
      <c r="E41" s="566">
        <v>32</v>
      </c>
      <c r="F41" s="566">
        <v>109</v>
      </c>
      <c r="G41" s="566">
        <v>64</v>
      </c>
      <c r="H41" s="566">
        <v>16</v>
      </c>
      <c r="I41" s="566">
        <f t="shared" si="0"/>
        <v>226</v>
      </c>
      <c r="J41" s="566">
        <v>5</v>
      </c>
      <c r="K41" s="566">
        <v>12</v>
      </c>
      <c r="L41" s="566">
        <v>16</v>
      </c>
      <c r="M41" s="566">
        <v>49</v>
      </c>
      <c r="N41" s="566">
        <v>38</v>
      </c>
      <c r="O41" s="566">
        <v>3</v>
      </c>
      <c r="P41" s="566">
        <f t="shared" si="1"/>
        <v>123</v>
      </c>
      <c r="Q41" s="567">
        <f t="shared" si="2"/>
        <v>349</v>
      </c>
    </row>
    <row r="42" spans="1:17" s="226" customFormat="1" x14ac:dyDescent="0.15">
      <c r="A42" s="226">
        <v>39</v>
      </c>
      <c r="B42" s="249" t="s">
        <v>528</v>
      </c>
      <c r="C42" s="566"/>
      <c r="D42" s="566"/>
      <c r="E42" s="566">
        <v>1</v>
      </c>
      <c r="F42" s="566">
        <v>3</v>
      </c>
      <c r="G42" s="566">
        <v>7</v>
      </c>
      <c r="H42" s="566">
        <v>5</v>
      </c>
      <c r="I42" s="566">
        <f t="shared" si="0"/>
        <v>16</v>
      </c>
      <c r="J42" s="566"/>
      <c r="K42" s="566">
        <v>1</v>
      </c>
      <c r="L42" s="566">
        <v>1</v>
      </c>
      <c r="M42" s="566"/>
      <c r="N42" s="566">
        <v>2</v>
      </c>
      <c r="O42" s="566"/>
      <c r="P42" s="566">
        <f t="shared" si="1"/>
        <v>4</v>
      </c>
      <c r="Q42" s="567">
        <f t="shared" si="2"/>
        <v>20</v>
      </c>
    </row>
    <row r="43" spans="1:17" s="226" customFormat="1" x14ac:dyDescent="0.15">
      <c r="A43" s="226">
        <v>40</v>
      </c>
      <c r="B43" s="249" t="s">
        <v>529</v>
      </c>
      <c r="C43" s="566">
        <v>1</v>
      </c>
      <c r="D43" s="566">
        <v>12</v>
      </c>
      <c r="E43" s="566">
        <v>24</v>
      </c>
      <c r="F43" s="566">
        <v>87</v>
      </c>
      <c r="G43" s="566">
        <v>62</v>
      </c>
      <c r="H43" s="566">
        <v>14</v>
      </c>
      <c r="I43" s="566">
        <f t="shared" si="0"/>
        <v>200</v>
      </c>
      <c r="J43" s="566">
        <v>1</v>
      </c>
      <c r="K43" s="566">
        <v>6</v>
      </c>
      <c r="L43" s="566">
        <v>16</v>
      </c>
      <c r="M43" s="566">
        <v>45</v>
      </c>
      <c r="N43" s="566">
        <v>30</v>
      </c>
      <c r="O43" s="566">
        <v>6</v>
      </c>
      <c r="P43" s="566">
        <f t="shared" si="1"/>
        <v>104</v>
      </c>
      <c r="Q43" s="567">
        <f t="shared" si="2"/>
        <v>304</v>
      </c>
    </row>
    <row r="44" spans="1:17" s="226" customFormat="1" x14ac:dyDescent="0.15">
      <c r="A44" s="226">
        <v>41</v>
      </c>
      <c r="B44" s="249" t="s">
        <v>530</v>
      </c>
      <c r="C44" s="566"/>
      <c r="D44" s="566">
        <v>4</v>
      </c>
      <c r="E44" s="566">
        <v>11</v>
      </c>
      <c r="F44" s="566">
        <v>31</v>
      </c>
      <c r="G44" s="566">
        <v>39</v>
      </c>
      <c r="H44" s="566">
        <v>9</v>
      </c>
      <c r="I44" s="566">
        <f t="shared" si="0"/>
        <v>94</v>
      </c>
      <c r="J44" s="566">
        <v>1</v>
      </c>
      <c r="K44" s="566">
        <v>3</v>
      </c>
      <c r="L44" s="566">
        <v>16</v>
      </c>
      <c r="M44" s="566">
        <v>16</v>
      </c>
      <c r="N44" s="566">
        <v>9</v>
      </c>
      <c r="O44" s="566">
        <v>5</v>
      </c>
      <c r="P44" s="566">
        <f t="shared" si="1"/>
        <v>50</v>
      </c>
      <c r="Q44" s="567">
        <f t="shared" si="2"/>
        <v>144</v>
      </c>
    </row>
    <row r="45" spans="1:17" s="226" customFormat="1" x14ac:dyDescent="0.15">
      <c r="A45" s="226">
        <v>42</v>
      </c>
      <c r="B45" s="249" t="s">
        <v>531</v>
      </c>
      <c r="C45" s="566"/>
      <c r="D45" s="566">
        <v>3</v>
      </c>
      <c r="E45" s="566">
        <v>4</v>
      </c>
      <c r="F45" s="566">
        <v>14</v>
      </c>
      <c r="G45" s="566">
        <v>7</v>
      </c>
      <c r="H45" s="566">
        <v>3</v>
      </c>
      <c r="I45" s="566">
        <f t="shared" si="0"/>
        <v>31</v>
      </c>
      <c r="J45" s="566">
        <v>1</v>
      </c>
      <c r="K45" s="566"/>
      <c r="L45" s="566">
        <v>2</v>
      </c>
      <c r="M45" s="566">
        <v>4</v>
      </c>
      <c r="N45" s="566">
        <v>3</v>
      </c>
      <c r="O45" s="566"/>
      <c r="P45" s="566">
        <f t="shared" si="1"/>
        <v>10</v>
      </c>
      <c r="Q45" s="567">
        <f t="shared" si="2"/>
        <v>41</v>
      </c>
    </row>
    <row r="46" spans="1:17" x14ac:dyDescent="0.15">
      <c r="B46" s="562"/>
      <c r="C46" s="760" t="s">
        <v>490</v>
      </c>
      <c r="D46" s="761"/>
      <c r="E46" s="761"/>
      <c r="F46" s="761"/>
      <c r="G46" s="761"/>
      <c r="H46" s="761"/>
      <c r="I46" s="762"/>
      <c r="J46" s="760" t="s">
        <v>491</v>
      </c>
      <c r="K46" s="761"/>
      <c r="L46" s="761"/>
      <c r="M46" s="761"/>
      <c r="N46" s="761"/>
      <c r="O46" s="761"/>
      <c r="P46" s="762"/>
      <c r="Q46" s="763" t="s">
        <v>62</v>
      </c>
    </row>
    <row r="47" spans="1:17" ht="44.25" customHeight="1" thickBot="1" x14ac:dyDescent="0.2">
      <c r="B47" s="600"/>
      <c r="C47" s="601" t="s">
        <v>276</v>
      </c>
      <c r="D47" s="602" t="s">
        <v>277</v>
      </c>
      <c r="E47" s="601" t="s">
        <v>492</v>
      </c>
      <c r="F47" s="601" t="s">
        <v>493</v>
      </c>
      <c r="G47" s="601" t="s">
        <v>494</v>
      </c>
      <c r="H47" s="601" t="s">
        <v>495</v>
      </c>
      <c r="I47" s="601" t="s">
        <v>496</v>
      </c>
      <c r="J47" s="601" t="s">
        <v>276</v>
      </c>
      <c r="K47" s="602" t="s">
        <v>277</v>
      </c>
      <c r="L47" s="601" t="s">
        <v>492</v>
      </c>
      <c r="M47" s="601" t="s">
        <v>493</v>
      </c>
      <c r="N47" s="601" t="s">
        <v>494</v>
      </c>
      <c r="O47" s="601" t="s">
        <v>495</v>
      </c>
      <c r="P47" s="601" t="s">
        <v>496</v>
      </c>
      <c r="Q47" s="765"/>
    </row>
    <row r="48" spans="1:17" s="226" customFormat="1" ht="19.5" thickBot="1" x14ac:dyDescent="0.2">
      <c r="B48" s="606" t="s">
        <v>532</v>
      </c>
      <c r="C48" s="607">
        <f t="shared" ref="C48:O48" si="3">SUM(C49:C72)</f>
        <v>10</v>
      </c>
      <c r="D48" s="607">
        <f t="shared" si="3"/>
        <v>108</v>
      </c>
      <c r="E48" s="607">
        <f t="shared" si="3"/>
        <v>313</v>
      </c>
      <c r="F48" s="607">
        <f t="shared" si="3"/>
        <v>781</v>
      </c>
      <c r="G48" s="607">
        <f t="shared" si="3"/>
        <v>467</v>
      </c>
      <c r="H48" s="607">
        <f t="shared" si="3"/>
        <v>80</v>
      </c>
      <c r="I48" s="607">
        <f>SUM(I49:I72)</f>
        <v>1759</v>
      </c>
      <c r="J48" s="607">
        <f>SUM(J49:J72)</f>
        <v>86</v>
      </c>
      <c r="K48" s="607">
        <f t="shared" si="3"/>
        <v>223</v>
      </c>
      <c r="L48" s="607">
        <f t="shared" si="3"/>
        <v>367</v>
      </c>
      <c r="M48" s="607">
        <f t="shared" si="3"/>
        <v>457</v>
      </c>
      <c r="N48" s="607">
        <f t="shared" si="3"/>
        <v>261</v>
      </c>
      <c r="O48" s="607">
        <f t="shared" si="3"/>
        <v>30</v>
      </c>
      <c r="P48" s="607">
        <f>SUM(P49:P72)</f>
        <v>1424</v>
      </c>
      <c r="Q48" s="608">
        <f t="shared" si="2"/>
        <v>3183</v>
      </c>
    </row>
    <row r="49" spans="1:17" s="226" customFormat="1" x14ac:dyDescent="0.15">
      <c r="A49" s="226">
        <v>43</v>
      </c>
      <c r="B49" s="603" t="s">
        <v>533</v>
      </c>
      <c r="C49" s="604"/>
      <c r="D49" s="604"/>
      <c r="E49" s="604">
        <v>9</v>
      </c>
      <c r="F49" s="604">
        <v>29</v>
      </c>
      <c r="G49" s="604">
        <v>24</v>
      </c>
      <c r="H49" s="604">
        <v>2</v>
      </c>
      <c r="I49" s="604">
        <f t="shared" ref="I49:I88" si="4">SUM(C49:H49)</f>
        <v>64</v>
      </c>
      <c r="J49" s="604">
        <v>2</v>
      </c>
      <c r="K49" s="604">
        <v>6</v>
      </c>
      <c r="L49" s="604">
        <v>8</v>
      </c>
      <c r="M49" s="604">
        <v>16</v>
      </c>
      <c r="N49" s="604">
        <v>8</v>
      </c>
      <c r="O49" s="604">
        <v>1</v>
      </c>
      <c r="P49" s="604">
        <f t="shared" ref="P49:P72" si="5">SUM(J49:O49)</f>
        <v>41</v>
      </c>
      <c r="Q49" s="605">
        <f t="shared" si="2"/>
        <v>105</v>
      </c>
    </row>
    <row r="50" spans="1:17" s="226" customFormat="1" x14ac:dyDescent="0.15">
      <c r="A50" s="226">
        <v>44</v>
      </c>
      <c r="B50" s="568" t="s">
        <v>534</v>
      </c>
      <c r="C50" s="566"/>
      <c r="D50" s="566">
        <v>5</v>
      </c>
      <c r="E50" s="566">
        <v>7</v>
      </c>
      <c r="F50" s="566">
        <v>24</v>
      </c>
      <c r="G50" s="566">
        <v>10</v>
      </c>
      <c r="H50" s="566">
        <v>2</v>
      </c>
      <c r="I50" s="566">
        <f t="shared" si="4"/>
        <v>48</v>
      </c>
      <c r="J50" s="566">
        <v>1</v>
      </c>
      <c r="K50" s="566">
        <v>5</v>
      </c>
      <c r="L50" s="566">
        <v>8</v>
      </c>
      <c r="M50" s="566">
        <v>11</v>
      </c>
      <c r="N50" s="566">
        <v>7</v>
      </c>
      <c r="O50" s="566">
        <v>1</v>
      </c>
      <c r="P50" s="566">
        <f t="shared" si="5"/>
        <v>33</v>
      </c>
      <c r="Q50" s="567">
        <f t="shared" si="2"/>
        <v>81</v>
      </c>
    </row>
    <row r="51" spans="1:17" s="226" customFormat="1" x14ac:dyDescent="0.15">
      <c r="A51" s="226">
        <v>45</v>
      </c>
      <c r="B51" s="568" t="s">
        <v>535</v>
      </c>
      <c r="C51" s="566"/>
      <c r="D51" s="566">
        <v>1</v>
      </c>
      <c r="E51" s="566">
        <v>5</v>
      </c>
      <c r="F51" s="566">
        <v>19</v>
      </c>
      <c r="G51" s="566">
        <v>14</v>
      </c>
      <c r="H51" s="566"/>
      <c r="I51" s="566">
        <f t="shared" si="4"/>
        <v>39</v>
      </c>
      <c r="J51" s="566">
        <v>1</v>
      </c>
      <c r="K51" s="566">
        <v>6</v>
      </c>
      <c r="L51" s="566">
        <v>4</v>
      </c>
      <c r="M51" s="566">
        <v>12</v>
      </c>
      <c r="N51" s="566">
        <v>4</v>
      </c>
      <c r="O51" s="566"/>
      <c r="P51" s="566">
        <f t="shared" si="5"/>
        <v>27</v>
      </c>
      <c r="Q51" s="567">
        <f t="shared" si="2"/>
        <v>66</v>
      </c>
    </row>
    <row r="52" spans="1:17" s="226" customFormat="1" x14ac:dyDescent="0.15">
      <c r="A52" s="226">
        <v>46</v>
      </c>
      <c r="B52" s="568" t="s">
        <v>536</v>
      </c>
      <c r="C52" s="566"/>
      <c r="D52" s="566">
        <v>2</v>
      </c>
      <c r="E52" s="566">
        <v>9</v>
      </c>
      <c r="F52" s="566">
        <v>23</v>
      </c>
      <c r="G52" s="566">
        <v>16</v>
      </c>
      <c r="H52" s="566">
        <v>1</v>
      </c>
      <c r="I52" s="566">
        <f t="shared" si="4"/>
        <v>51</v>
      </c>
      <c r="J52" s="566"/>
      <c r="K52" s="566">
        <v>1</v>
      </c>
      <c r="L52" s="566">
        <v>7</v>
      </c>
      <c r="M52" s="566">
        <v>14</v>
      </c>
      <c r="N52" s="566">
        <v>1</v>
      </c>
      <c r="O52" s="566">
        <v>1</v>
      </c>
      <c r="P52" s="566">
        <f t="shared" si="5"/>
        <v>24</v>
      </c>
      <c r="Q52" s="567">
        <f t="shared" si="2"/>
        <v>75</v>
      </c>
    </row>
    <row r="53" spans="1:17" s="226" customFormat="1" x14ac:dyDescent="0.15">
      <c r="A53" s="226">
        <v>47</v>
      </c>
      <c r="B53" s="568" t="s">
        <v>537</v>
      </c>
      <c r="C53" s="566"/>
      <c r="D53" s="566">
        <v>1</v>
      </c>
      <c r="E53" s="566">
        <v>5</v>
      </c>
      <c r="F53" s="566">
        <v>11</v>
      </c>
      <c r="G53" s="566">
        <v>8</v>
      </c>
      <c r="H53" s="566">
        <v>2</v>
      </c>
      <c r="I53" s="566">
        <f t="shared" si="4"/>
        <v>27</v>
      </c>
      <c r="J53" s="566">
        <v>3</v>
      </c>
      <c r="K53" s="566">
        <v>3</v>
      </c>
      <c r="L53" s="566">
        <v>5</v>
      </c>
      <c r="M53" s="566">
        <v>7</v>
      </c>
      <c r="N53" s="566">
        <v>4</v>
      </c>
      <c r="O53" s="566"/>
      <c r="P53" s="566">
        <f t="shared" si="5"/>
        <v>22</v>
      </c>
      <c r="Q53" s="567">
        <f t="shared" si="2"/>
        <v>49</v>
      </c>
    </row>
    <row r="54" spans="1:17" s="226" customFormat="1" x14ac:dyDescent="0.15">
      <c r="A54" s="226">
        <v>48</v>
      </c>
      <c r="B54" s="568" t="s">
        <v>538</v>
      </c>
      <c r="C54" s="566"/>
      <c r="D54" s="566">
        <v>2</v>
      </c>
      <c r="E54" s="566">
        <v>7</v>
      </c>
      <c r="F54" s="566">
        <v>15</v>
      </c>
      <c r="G54" s="566">
        <v>5</v>
      </c>
      <c r="H54" s="566">
        <v>1</v>
      </c>
      <c r="I54" s="566">
        <f t="shared" si="4"/>
        <v>30</v>
      </c>
      <c r="J54" s="566"/>
      <c r="K54" s="566">
        <v>6</v>
      </c>
      <c r="L54" s="566">
        <v>9</v>
      </c>
      <c r="M54" s="566">
        <v>10</v>
      </c>
      <c r="N54" s="566">
        <v>10</v>
      </c>
      <c r="O54" s="566"/>
      <c r="P54" s="566">
        <f t="shared" si="5"/>
        <v>35</v>
      </c>
      <c r="Q54" s="567">
        <f t="shared" si="2"/>
        <v>65</v>
      </c>
    </row>
    <row r="55" spans="1:17" s="226" customFormat="1" x14ac:dyDescent="0.15">
      <c r="A55" s="226">
        <v>49</v>
      </c>
      <c r="B55" s="568" t="s">
        <v>539</v>
      </c>
      <c r="C55" s="566"/>
      <c r="D55" s="566">
        <v>3</v>
      </c>
      <c r="E55" s="566">
        <v>8</v>
      </c>
      <c r="F55" s="566">
        <v>35</v>
      </c>
      <c r="G55" s="566">
        <v>16</v>
      </c>
      <c r="H55" s="566">
        <v>3</v>
      </c>
      <c r="I55" s="566">
        <f t="shared" si="4"/>
        <v>65</v>
      </c>
      <c r="J55" s="566">
        <v>2</v>
      </c>
      <c r="K55" s="566">
        <v>10</v>
      </c>
      <c r="L55" s="566">
        <v>12</v>
      </c>
      <c r="M55" s="566">
        <v>9</v>
      </c>
      <c r="N55" s="566">
        <v>7</v>
      </c>
      <c r="O55" s="566"/>
      <c r="P55" s="566">
        <f t="shared" si="5"/>
        <v>40</v>
      </c>
      <c r="Q55" s="567">
        <f t="shared" si="2"/>
        <v>105</v>
      </c>
    </row>
    <row r="56" spans="1:17" s="226" customFormat="1" x14ac:dyDescent="0.15">
      <c r="A56" s="226">
        <v>50</v>
      </c>
      <c r="B56" s="568" t="s">
        <v>540</v>
      </c>
      <c r="C56" s="566">
        <v>1</v>
      </c>
      <c r="D56" s="566">
        <v>3</v>
      </c>
      <c r="E56" s="566">
        <v>7</v>
      </c>
      <c r="F56" s="566">
        <v>19</v>
      </c>
      <c r="G56" s="566">
        <v>16</v>
      </c>
      <c r="H56" s="566">
        <v>3</v>
      </c>
      <c r="I56" s="566">
        <f t="shared" si="4"/>
        <v>49</v>
      </c>
      <c r="J56" s="566">
        <v>4</v>
      </c>
      <c r="K56" s="566">
        <v>6</v>
      </c>
      <c r="L56" s="566">
        <v>2</v>
      </c>
      <c r="M56" s="566">
        <v>12</v>
      </c>
      <c r="N56" s="566">
        <v>4</v>
      </c>
      <c r="O56" s="566"/>
      <c r="P56" s="566">
        <f t="shared" si="5"/>
        <v>28</v>
      </c>
      <c r="Q56" s="567">
        <f t="shared" si="2"/>
        <v>77</v>
      </c>
    </row>
    <row r="57" spans="1:17" s="226" customFormat="1" x14ac:dyDescent="0.15">
      <c r="A57" s="226">
        <v>51</v>
      </c>
      <c r="B57" s="568" t="s">
        <v>541</v>
      </c>
      <c r="C57" s="566">
        <v>2</v>
      </c>
      <c r="D57" s="566">
        <v>4</v>
      </c>
      <c r="E57" s="566">
        <v>2</v>
      </c>
      <c r="F57" s="566">
        <v>8</v>
      </c>
      <c r="G57" s="566">
        <v>4</v>
      </c>
      <c r="H57" s="566">
        <v>1</v>
      </c>
      <c r="I57" s="566">
        <f t="shared" si="4"/>
        <v>21</v>
      </c>
      <c r="J57" s="566">
        <v>2</v>
      </c>
      <c r="K57" s="566">
        <v>6</v>
      </c>
      <c r="L57" s="566">
        <v>8</v>
      </c>
      <c r="M57" s="566">
        <v>8</v>
      </c>
      <c r="N57" s="566">
        <v>5</v>
      </c>
      <c r="O57" s="566">
        <v>2</v>
      </c>
      <c r="P57" s="566">
        <f t="shared" si="5"/>
        <v>31</v>
      </c>
      <c r="Q57" s="567">
        <f t="shared" si="2"/>
        <v>52</v>
      </c>
    </row>
    <row r="58" spans="1:17" s="226" customFormat="1" x14ac:dyDescent="0.15">
      <c r="A58" s="226">
        <v>52</v>
      </c>
      <c r="B58" s="568" t="s">
        <v>542</v>
      </c>
      <c r="C58" s="566"/>
      <c r="D58" s="566">
        <v>1</v>
      </c>
      <c r="E58" s="566">
        <v>7</v>
      </c>
      <c r="F58" s="566">
        <v>8</v>
      </c>
      <c r="G58" s="566">
        <v>9</v>
      </c>
      <c r="H58" s="566">
        <v>2</v>
      </c>
      <c r="I58" s="566">
        <f t="shared" si="4"/>
        <v>27</v>
      </c>
      <c r="J58" s="566">
        <v>2</v>
      </c>
      <c r="K58" s="566">
        <v>5</v>
      </c>
      <c r="L58" s="566">
        <v>12</v>
      </c>
      <c r="M58" s="566">
        <v>18</v>
      </c>
      <c r="N58" s="566">
        <v>7</v>
      </c>
      <c r="O58" s="566"/>
      <c r="P58" s="566">
        <f t="shared" si="5"/>
        <v>44</v>
      </c>
      <c r="Q58" s="567">
        <f t="shared" si="2"/>
        <v>71</v>
      </c>
    </row>
    <row r="59" spans="1:17" s="226" customFormat="1" x14ac:dyDescent="0.15">
      <c r="A59" s="226">
        <v>53</v>
      </c>
      <c r="B59" s="568" t="s">
        <v>543</v>
      </c>
      <c r="C59" s="566"/>
      <c r="D59" s="566">
        <v>3</v>
      </c>
      <c r="E59" s="566">
        <v>9</v>
      </c>
      <c r="F59" s="566">
        <v>29</v>
      </c>
      <c r="G59" s="566">
        <v>14</v>
      </c>
      <c r="H59" s="566">
        <v>5</v>
      </c>
      <c r="I59" s="566">
        <f t="shared" si="4"/>
        <v>60</v>
      </c>
      <c r="J59" s="566">
        <v>3</v>
      </c>
      <c r="K59" s="566">
        <v>9</v>
      </c>
      <c r="L59" s="566">
        <v>10</v>
      </c>
      <c r="M59" s="566">
        <v>13</v>
      </c>
      <c r="N59" s="566">
        <v>11</v>
      </c>
      <c r="O59" s="566">
        <v>1</v>
      </c>
      <c r="P59" s="566">
        <f t="shared" si="5"/>
        <v>47</v>
      </c>
      <c r="Q59" s="567">
        <f t="shared" si="2"/>
        <v>107</v>
      </c>
    </row>
    <row r="60" spans="1:17" s="226" customFormat="1" x14ac:dyDescent="0.15">
      <c r="A60" s="226">
        <v>54</v>
      </c>
      <c r="B60" s="568" t="s">
        <v>544</v>
      </c>
      <c r="C60" s="566"/>
      <c r="D60" s="566">
        <v>9</v>
      </c>
      <c r="E60" s="566">
        <v>15</v>
      </c>
      <c r="F60" s="566">
        <v>47</v>
      </c>
      <c r="G60" s="566">
        <v>30</v>
      </c>
      <c r="H60" s="566">
        <v>7</v>
      </c>
      <c r="I60" s="566">
        <f t="shared" si="4"/>
        <v>108</v>
      </c>
      <c r="J60" s="566">
        <v>3</v>
      </c>
      <c r="K60" s="566">
        <v>9</v>
      </c>
      <c r="L60" s="566">
        <v>24</v>
      </c>
      <c r="M60" s="566">
        <v>21</v>
      </c>
      <c r="N60" s="566">
        <v>10</v>
      </c>
      <c r="O60" s="566">
        <v>1</v>
      </c>
      <c r="P60" s="566">
        <f t="shared" si="5"/>
        <v>68</v>
      </c>
      <c r="Q60" s="567">
        <f t="shared" si="2"/>
        <v>176</v>
      </c>
    </row>
    <row r="61" spans="1:17" s="226" customFormat="1" x14ac:dyDescent="0.15">
      <c r="A61" s="226">
        <v>55</v>
      </c>
      <c r="B61" s="568" t="s">
        <v>545</v>
      </c>
      <c r="C61" s="566">
        <v>1</v>
      </c>
      <c r="D61" s="566">
        <v>5</v>
      </c>
      <c r="E61" s="566">
        <v>16</v>
      </c>
      <c r="F61" s="566">
        <v>49</v>
      </c>
      <c r="G61" s="566">
        <v>38</v>
      </c>
      <c r="H61" s="566">
        <v>6</v>
      </c>
      <c r="I61" s="566">
        <f t="shared" si="4"/>
        <v>115</v>
      </c>
      <c r="J61" s="566">
        <v>8</v>
      </c>
      <c r="K61" s="566">
        <v>8</v>
      </c>
      <c r="L61" s="566">
        <v>24</v>
      </c>
      <c r="M61" s="566">
        <v>32</v>
      </c>
      <c r="N61" s="566">
        <v>26</v>
      </c>
      <c r="O61" s="566">
        <v>4</v>
      </c>
      <c r="P61" s="566">
        <f t="shared" si="5"/>
        <v>102</v>
      </c>
      <c r="Q61" s="567">
        <f t="shared" si="2"/>
        <v>217</v>
      </c>
    </row>
    <row r="62" spans="1:17" s="226" customFormat="1" x14ac:dyDescent="0.15">
      <c r="A62" s="226">
        <v>56</v>
      </c>
      <c r="B62" s="568" t="s">
        <v>546</v>
      </c>
      <c r="C62" s="566">
        <v>1</v>
      </c>
      <c r="D62" s="566">
        <v>3</v>
      </c>
      <c r="E62" s="566">
        <v>10</v>
      </c>
      <c r="F62" s="566">
        <v>21</v>
      </c>
      <c r="G62" s="566">
        <v>10</v>
      </c>
      <c r="H62" s="566"/>
      <c r="I62" s="566">
        <f t="shared" si="4"/>
        <v>45</v>
      </c>
      <c r="J62" s="566">
        <v>2</v>
      </c>
      <c r="K62" s="566">
        <v>8</v>
      </c>
      <c r="L62" s="566">
        <v>8</v>
      </c>
      <c r="M62" s="566">
        <v>17</v>
      </c>
      <c r="N62" s="566">
        <v>8</v>
      </c>
      <c r="O62" s="566"/>
      <c r="P62" s="566">
        <f t="shared" si="5"/>
        <v>43</v>
      </c>
      <c r="Q62" s="567">
        <f t="shared" si="2"/>
        <v>88</v>
      </c>
    </row>
    <row r="63" spans="1:17" s="226" customFormat="1" x14ac:dyDescent="0.15">
      <c r="A63" s="226">
        <v>57</v>
      </c>
      <c r="B63" s="568" t="s">
        <v>547</v>
      </c>
      <c r="C63" s="566"/>
      <c r="D63" s="566">
        <v>10</v>
      </c>
      <c r="E63" s="566">
        <v>17</v>
      </c>
      <c r="F63" s="566">
        <v>40</v>
      </c>
      <c r="G63" s="566">
        <v>18</v>
      </c>
      <c r="H63" s="566">
        <v>1</v>
      </c>
      <c r="I63" s="566">
        <f t="shared" si="4"/>
        <v>86</v>
      </c>
      <c r="J63" s="566">
        <v>6</v>
      </c>
      <c r="K63" s="566">
        <v>8</v>
      </c>
      <c r="L63" s="566">
        <v>25</v>
      </c>
      <c r="M63" s="566">
        <v>29</v>
      </c>
      <c r="N63" s="566">
        <v>15</v>
      </c>
      <c r="O63" s="566">
        <v>1</v>
      </c>
      <c r="P63" s="566">
        <f t="shared" si="5"/>
        <v>84</v>
      </c>
      <c r="Q63" s="567">
        <f t="shared" si="2"/>
        <v>170</v>
      </c>
    </row>
    <row r="64" spans="1:17" s="226" customFormat="1" x14ac:dyDescent="0.15">
      <c r="A64" s="226">
        <v>58</v>
      </c>
      <c r="B64" s="568" t="s">
        <v>548</v>
      </c>
      <c r="C64" s="566"/>
      <c r="D64" s="566">
        <v>5</v>
      </c>
      <c r="E64" s="566">
        <v>15</v>
      </c>
      <c r="F64" s="566">
        <v>27</v>
      </c>
      <c r="G64" s="566">
        <v>14</v>
      </c>
      <c r="H64" s="566">
        <v>3</v>
      </c>
      <c r="I64" s="566">
        <f t="shared" si="4"/>
        <v>64</v>
      </c>
      <c r="J64" s="566">
        <v>1</v>
      </c>
      <c r="K64" s="566">
        <v>4</v>
      </c>
      <c r="L64" s="566">
        <v>11</v>
      </c>
      <c r="M64" s="566">
        <v>15</v>
      </c>
      <c r="N64" s="566">
        <v>7</v>
      </c>
      <c r="O64" s="566"/>
      <c r="P64" s="566">
        <f t="shared" si="5"/>
        <v>38</v>
      </c>
      <c r="Q64" s="567">
        <f t="shared" si="2"/>
        <v>102</v>
      </c>
    </row>
    <row r="65" spans="1:17" s="226" customFormat="1" x14ac:dyDescent="0.15">
      <c r="A65" s="226">
        <v>59</v>
      </c>
      <c r="B65" s="568" t="s">
        <v>549</v>
      </c>
      <c r="C65" s="566">
        <v>2</v>
      </c>
      <c r="D65" s="566">
        <v>7</v>
      </c>
      <c r="E65" s="566">
        <v>16</v>
      </c>
      <c r="F65" s="566">
        <v>43</v>
      </c>
      <c r="G65" s="566">
        <v>17</v>
      </c>
      <c r="H65" s="566">
        <v>3</v>
      </c>
      <c r="I65" s="566">
        <f t="shared" si="4"/>
        <v>88</v>
      </c>
      <c r="J65" s="566">
        <v>3</v>
      </c>
      <c r="K65" s="566">
        <v>8</v>
      </c>
      <c r="L65" s="566">
        <v>14</v>
      </c>
      <c r="M65" s="566">
        <v>24</v>
      </c>
      <c r="N65" s="566">
        <v>10</v>
      </c>
      <c r="O65" s="566">
        <v>4</v>
      </c>
      <c r="P65" s="566">
        <f t="shared" si="5"/>
        <v>63</v>
      </c>
      <c r="Q65" s="567">
        <f t="shared" si="2"/>
        <v>151</v>
      </c>
    </row>
    <row r="66" spans="1:17" s="226" customFormat="1" x14ac:dyDescent="0.15">
      <c r="A66" s="226">
        <v>60</v>
      </c>
      <c r="B66" s="568" t="s">
        <v>550</v>
      </c>
      <c r="C66" s="566"/>
      <c r="D66" s="566">
        <v>3</v>
      </c>
      <c r="E66" s="566">
        <v>13</v>
      </c>
      <c r="F66" s="566">
        <v>23</v>
      </c>
      <c r="G66" s="566">
        <v>3</v>
      </c>
      <c r="H66" s="566">
        <v>2</v>
      </c>
      <c r="I66" s="566">
        <f t="shared" si="4"/>
        <v>44</v>
      </c>
      <c r="J66" s="566">
        <v>2</v>
      </c>
      <c r="K66" s="566">
        <v>7</v>
      </c>
      <c r="L66" s="566">
        <v>18</v>
      </c>
      <c r="M66" s="566">
        <v>11</v>
      </c>
      <c r="N66" s="566">
        <v>8</v>
      </c>
      <c r="O66" s="566"/>
      <c r="P66" s="566">
        <f t="shared" si="5"/>
        <v>46</v>
      </c>
      <c r="Q66" s="567">
        <f t="shared" si="2"/>
        <v>90</v>
      </c>
    </row>
    <row r="67" spans="1:17" s="226" customFormat="1" x14ac:dyDescent="0.15">
      <c r="A67" s="226">
        <v>61</v>
      </c>
      <c r="B67" s="568" t="s">
        <v>551</v>
      </c>
      <c r="C67" s="566"/>
      <c r="D67" s="566">
        <v>3</v>
      </c>
      <c r="E67" s="566">
        <v>12</v>
      </c>
      <c r="F67" s="566">
        <v>27</v>
      </c>
      <c r="G67" s="566">
        <v>15</v>
      </c>
      <c r="H67" s="566">
        <v>3</v>
      </c>
      <c r="I67" s="566">
        <f t="shared" si="4"/>
        <v>60</v>
      </c>
      <c r="J67" s="566">
        <v>1</v>
      </c>
      <c r="K67" s="566">
        <v>11</v>
      </c>
      <c r="L67" s="566">
        <v>11</v>
      </c>
      <c r="M67" s="566">
        <v>16</v>
      </c>
      <c r="N67" s="566">
        <v>7</v>
      </c>
      <c r="O67" s="566">
        <v>2</v>
      </c>
      <c r="P67" s="566">
        <f t="shared" si="5"/>
        <v>48</v>
      </c>
      <c r="Q67" s="567">
        <f t="shared" si="2"/>
        <v>108</v>
      </c>
    </row>
    <row r="68" spans="1:17" s="226" customFormat="1" x14ac:dyDescent="0.15">
      <c r="A68" s="226">
        <v>62</v>
      </c>
      <c r="B68" s="568" t="s">
        <v>552</v>
      </c>
      <c r="C68" s="566"/>
      <c r="D68" s="566">
        <v>13</v>
      </c>
      <c r="E68" s="566">
        <v>15</v>
      </c>
      <c r="F68" s="566">
        <v>40</v>
      </c>
      <c r="G68" s="566">
        <v>26</v>
      </c>
      <c r="H68" s="566">
        <v>6</v>
      </c>
      <c r="I68" s="566">
        <f t="shared" si="4"/>
        <v>100</v>
      </c>
      <c r="J68" s="566">
        <v>3</v>
      </c>
      <c r="K68" s="566">
        <v>18</v>
      </c>
      <c r="L68" s="566">
        <v>16</v>
      </c>
      <c r="M68" s="566">
        <v>15</v>
      </c>
      <c r="N68" s="566">
        <v>16</v>
      </c>
      <c r="O68" s="566">
        <v>2</v>
      </c>
      <c r="P68" s="566">
        <f t="shared" si="5"/>
        <v>70</v>
      </c>
      <c r="Q68" s="567">
        <f t="shared" si="2"/>
        <v>170</v>
      </c>
    </row>
    <row r="69" spans="1:17" s="226" customFormat="1" x14ac:dyDescent="0.15">
      <c r="A69" s="226">
        <v>63</v>
      </c>
      <c r="B69" s="568" t="s">
        <v>553</v>
      </c>
      <c r="C69" s="566">
        <v>1</v>
      </c>
      <c r="D69" s="566">
        <v>3</v>
      </c>
      <c r="E69" s="566">
        <v>27</v>
      </c>
      <c r="F69" s="566">
        <v>57</v>
      </c>
      <c r="G69" s="566">
        <v>35</v>
      </c>
      <c r="H69" s="566">
        <v>2</v>
      </c>
      <c r="I69" s="566">
        <f t="shared" si="4"/>
        <v>125</v>
      </c>
      <c r="J69" s="566">
        <v>4</v>
      </c>
      <c r="K69" s="566">
        <v>18</v>
      </c>
      <c r="L69" s="566">
        <v>29</v>
      </c>
      <c r="M69" s="566">
        <v>29</v>
      </c>
      <c r="N69" s="566">
        <v>17</v>
      </c>
      <c r="O69" s="566">
        <v>3</v>
      </c>
      <c r="P69" s="566">
        <f t="shared" si="5"/>
        <v>100</v>
      </c>
      <c r="Q69" s="567">
        <f t="shared" si="2"/>
        <v>225</v>
      </c>
    </row>
    <row r="70" spans="1:17" s="226" customFormat="1" x14ac:dyDescent="0.15">
      <c r="A70" s="226">
        <v>64</v>
      </c>
      <c r="B70" s="568" t="s">
        <v>554</v>
      </c>
      <c r="C70" s="566"/>
      <c r="D70" s="566">
        <v>5</v>
      </c>
      <c r="E70" s="566">
        <v>20</v>
      </c>
      <c r="F70" s="566">
        <v>41</v>
      </c>
      <c r="G70" s="566">
        <v>31</v>
      </c>
      <c r="H70" s="566">
        <v>7</v>
      </c>
      <c r="I70" s="566">
        <f t="shared" si="4"/>
        <v>104</v>
      </c>
      <c r="J70" s="566">
        <v>6</v>
      </c>
      <c r="K70" s="566">
        <v>14</v>
      </c>
      <c r="L70" s="566">
        <v>29</v>
      </c>
      <c r="M70" s="566">
        <v>30</v>
      </c>
      <c r="N70" s="566">
        <v>16</v>
      </c>
      <c r="O70" s="566">
        <v>1</v>
      </c>
      <c r="P70" s="566">
        <f t="shared" si="5"/>
        <v>96</v>
      </c>
      <c r="Q70" s="567">
        <f t="shared" si="2"/>
        <v>200</v>
      </c>
    </row>
    <row r="71" spans="1:17" s="226" customFormat="1" x14ac:dyDescent="0.15">
      <c r="A71" s="226">
        <v>65</v>
      </c>
      <c r="B71" s="568" t="s">
        <v>555</v>
      </c>
      <c r="C71" s="566">
        <v>2</v>
      </c>
      <c r="D71" s="566">
        <v>13</v>
      </c>
      <c r="E71" s="566">
        <v>32</v>
      </c>
      <c r="F71" s="566">
        <v>66</v>
      </c>
      <c r="G71" s="566">
        <v>36</v>
      </c>
      <c r="H71" s="566">
        <v>9</v>
      </c>
      <c r="I71" s="566">
        <f t="shared" si="4"/>
        <v>158</v>
      </c>
      <c r="J71" s="566">
        <v>10</v>
      </c>
      <c r="K71" s="566">
        <v>26</v>
      </c>
      <c r="L71" s="566">
        <v>34</v>
      </c>
      <c r="M71" s="566">
        <v>49</v>
      </c>
      <c r="N71" s="566">
        <v>24</v>
      </c>
      <c r="O71" s="566">
        <v>2</v>
      </c>
      <c r="P71" s="566">
        <f t="shared" si="5"/>
        <v>145</v>
      </c>
      <c r="Q71" s="567">
        <f t="shared" si="2"/>
        <v>303</v>
      </c>
    </row>
    <row r="72" spans="1:17" s="226" customFormat="1" ht="19.5" thickBot="1" x14ac:dyDescent="0.2">
      <c r="A72" s="226">
        <v>66</v>
      </c>
      <c r="B72" s="609" t="s">
        <v>556</v>
      </c>
      <c r="C72" s="610"/>
      <c r="D72" s="610">
        <v>4</v>
      </c>
      <c r="E72" s="610">
        <v>30</v>
      </c>
      <c r="F72" s="610">
        <v>80</v>
      </c>
      <c r="G72" s="610">
        <v>58</v>
      </c>
      <c r="H72" s="610">
        <v>9</v>
      </c>
      <c r="I72" s="610">
        <f t="shared" si="4"/>
        <v>181</v>
      </c>
      <c r="J72" s="610">
        <v>17</v>
      </c>
      <c r="K72" s="610">
        <v>21</v>
      </c>
      <c r="L72" s="610">
        <v>39</v>
      </c>
      <c r="M72" s="610">
        <v>39</v>
      </c>
      <c r="N72" s="610">
        <v>29</v>
      </c>
      <c r="O72" s="610">
        <v>4</v>
      </c>
      <c r="P72" s="610">
        <f t="shared" si="5"/>
        <v>149</v>
      </c>
      <c r="Q72" s="611">
        <f t="shared" ref="Q72:Q88" si="6">SUM(I72,P72)</f>
        <v>330</v>
      </c>
    </row>
    <row r="73" spans="1:17" s="226" customFormat="1" ht="19.5" thickBot="1" x14ac:dyDescent="0.2">
      <c r="A73" s="226">
        <v>30</v>
      </c>
      <c r="B73" s="606" t="s">
        <v>383</v>
      </c>
      <c r="C73" s="607">
        <f t="shared" ref="C73:H73" si="7">SUM(C74:C80)</f>
        <v>5</v>
      </c>
      <c r="D73" s="607">
        <f t="shared" si="7"/>
        <v>41</v>
      </c>
      <c r="E73" s="607">
        <f t="shared" si="7"/>
        <v>154</v>
      </c>
      <c r="F73" s="607">
        <f t="shared" si="7"/>
        <v>420</v>
      </c>
      <c r="G73" s="607">
        <f t="shared" si="7"/>
        <v>237</v>
      </c>
      <c r="H73" s="607">
        <f t="shared" si="7"/>
        <v>42</v>
      </c>
      <c r="I73" s="607">
        <f>SUM(C73:H73)</f>
        <v>899</v>
      </c>
      <c r="J73" s="607">
        <f>SUM(J74:J80)</f>
        <v>22</v>
      </c>
      <c r="K73" s="607">
        <f t="shared" ref="K73:O73" si="8">SUM(K74:K80)</f>
        <v>140</v>
      </c>
      <c r="L73" s="607">
        <f t="shared" si="8"/>
        <v>157</v>
      </c>
      <c r="M73" s="607">
        <f t="shared" si="8"/>
        <v>195</v>
      </c>
      <c r="N73" s="607">
        <f t="shared" si="8"/>
        <v>105</v>
      </c>
      <c r="O73" s="607">
        <f t="shared" si="8"/>
        <v>12</v>
      </c>
      <c r="P73" s="607">
        <f>SUM(J73:O73)</f>
        <v>631</v>
      </c>
      <c r="Q73" s="608">
        <f t="shared" si="6"/>
        <v>1530</v>
      </c>
    </row>
    <row r="74" spans="1:17" s="226" customFormat="1" x14ac:dyDescent="0.15">
      <c r="A74" s="226">
        <v>70</v>
      </c>
      <c r="B74" s="612" t="s">
        <v>557</v>
      </c>
      <c r="C74" s="604"/>
      <c r="D74" s="604">
        <v>13</v>
      </c>
      <c r="E74" s="604">
        <v>61</v>
      </c>
      <c r="F74" s="604">
        <v>124</v>
      </c>
      <c r="G74" s="604">
        <v>63</v>
      </c>
      <c r="H74" s="604">
        <v>4</v>
      </c>
      <c r="I74" s="604">
        <f t="shared" si="4"/>
        <v>265</v>
      </c>
      <c r="J74" s="604">
        <v>4</v>
      </c>
      <c r="K74" s="604">
        <v>30</v>
      </c>
      <c r="L74" s="604">
        <v>28</v>
      </c>
      <c r="M74" s="604">
        <v>46</v>
      </c>
      <c r="N74" s="604">
        <v>21</v>
      </c>
      <c r="O74" s="604">
        <v>2</v>
      </c>
      <c r="P74" s="604">
        <f t="shared" ref="P74:P80" si="9">SUM(J74:O74)</f>
        <v>131</v>
      </c>
      <c r="Q74" s="605">
        <f t="shared" si="6"/>
        <v>396</v>
      </c>
    </row>
    <row r="75" spans="1:17" s="226" customFormat="1" x14ac:dyDescent="0.15">
      <c r="A75" s="226">
        <v>71</v>
      </c>
      <c r="B75" s="249" t="s">
        <v>558</v>
      </c>
      <c r="C75" s="566"/>
      <c r="D75" s="566">
        <v>4</v>
      </c>
      <c r="E75" s="566">
        <v>12</v>
      </c>
      <c r="F75" s="566">
        <v>56</v>
      </c>
      <c r="G75" s="566">
        <v>34</v>
      </c>
      <c r="H75" s="566">
        <v>9</v>
      </c>
      <c r="I75" s="566">
        <f t="shared" si="4"/>
        <v>115</v>
      </c>
      <c r="J75" s="566">
        <v>4</v>
      </c>
      <c r="K75" s="566">
        <v>19</v>
      </c>
      <c r="L75" s="566">
        <v>27</v>
      </c>
      <c r="M75" s="566">
        <v>33</v>
      </c>
      <c r="N75" s="566">
        <v>14</v>
      </c>
      <c r="O75" s="566">
        <v>1</v>
      </c>
      <c r="P75" s="566">
        <f t="shared" si="9"/>
        <v>98</v>
      </c>
      <c r="Q75" s="567">
        <f t="shared" si="6"/>
        <v>213</v>
      </c>
    </row>
    <row r="76" spans="1:17" s="226" customFormat="1" x14ac:dyDescent="0.15">
      <c r="A76" s="226">
        <v>72</v>
      </c>
      <c r="B76" s="249" t="s">
        <v>559</v>
      </c>
      <c r="C76" s="566"/>
      <c r="D76" s="566">
        <v>8</v>
      </c>
      <c r="E76" s="566">
        <v>19</v>
      </c>
      <c r="F76" s="566">
        <v>43</v>
      </c>
      <c r="G76" s="566">
        <v>31</v>
      </c>
      <c r="H76" s="566">
        <v>3</v>
      </c>
      <c r="I76" s="566">
        <f t="shared" si="4"/>
        <v>104</v>
      </c>
      <c r="J76" s="566">
        <v>2</v>
      </c>
      <c r="K76" s="566">
        <v>22</v>
      </c>
      <c r="L76" s="566">
        <v>17</v>
      </c>
      <c r="M76" s="566">
        <v>22</v>
      </c>
      <c r="N76" s="566">
        <v>12</v>
      </c>
      <c r="O76" s="566">
        <v>3</v>
      </c>
      <c r="P76" s="566">
        <f t="shared" si="9"/>
        <v>78</v>
      </c>
      <c r="Q76" s="567">
        <f t="shared" si="6"/>
        <v>182</v>
      </c>
    </row>
    <row r="77" spans="1:17" s="226" customFormat="1" x14ac:dyDescent="0.15">
      <c r="A77" s="226">
        <v>73</v>
      </c>
      <c r="B77" s="249" t="s">
        <v>560</v>
      </c>
      <c r="C77" s="566">
        <v>3</v>
      </c>
      <c r="D77" s="566">
        <v>5</v>
      </c>
      <c r="E77" s="566">
        <v>28</v>
      </c>
      <c r="F77" s="566">
        <v>45</v>
      </c>
      <c r="G77" s="566">
        <v>28</v>
      </c>
      <c r="H77" s="566">
        <v>7</v>
      </c>
      <c r="I77" s="566">
        <f t="shared" si="4"/>
        <v>116</v>
      </c>
      <c r="J77" s="566">
        <v>3</v>
      </c>
      <c r="K77" s="566">
        <v>19</v>
      </c>
      <c r="L77" s="566">
        <v>27</v>
      </c>
      <c r="M77" s="566">
        <v>29</v>
      </c>
      <c r="N77" s="566">
        <v>19</v>
      </c>
      <c r="O77" s="566">
        <v>3</v>
      </c>
      <c r="P77" s="566">
        <f t="shared" si="9"/>
        <v>100</v>
      </c>
      <c r="Q77" s="567">
        <f t="shared" si="6"/>
        <v>216</v>
      </c>
    </row>
    <row r="78" spans="1:17" s="226" customFormat="1" x14ac:dyDescent="0.15">
      <c r="A78" s="226">
        <v>74</v>
      </c>
      <c r="B78" s="249" t="s">
        <v>561</v>
      </c>
      <c r="C78" s="566">
        <v>1</v>
      </c>
      <c r="D78" s="566">
        <v>5</v>
      </c>
      <c r="E78" s="566">
        <v>16</v>
      </c>
      <c r="F78" s="566">
        <v>86</v>
      </c>
      <c r="G78" s="566">
        <v>52</v>
      </c>
      <c r="H78" s="566">
        <v>9</v>
      </c>
      <c r="I78" s="566">
        <f t="shared" si="4"/>
        <v>169</v>
      </c>
      <c r="J78" s="566">
        <v>3</v>
      </c>
      <c r="K78" s="566">
        <v>20</v>
      </c>
      <c r="L78" s="566">
        <v>30</v>
      </c>
      <c r="M78" s="566">
        <v>37</v>
      </c>
      <c r="N78" s="566">
        <v>17</v>
      </c>
      <c r="O78" s="566">
        <v>2</v>
      </c>
      <c r="P78" s="566">
        <f t="shared" si="9"/>
        <v>109</v>
      </c>
      <c r="Q78" s="567">
        <f t="shared" si="6"/>
        <v>278</v>
      </c>
    </row>
    <row r="79" spans="1:17" s="226" customFormat="1" x14ac:dyDescent="0.15">
      <c r="A79" s="226">
        <v>75</v>
      </c>
      <c r="B79" s="249" t="s">
        <v>562</v>
      </c>
      <c r="C79" s="566">
        <v>1</v>
      </c>
      <c r="D79" s="566">
        <v>1</v>
      </c>
      <c r="E79" s="566">
        <v>11</v>
      </c>
      <c r="F79" s="566">
        <v>34</v>
      </c>
      <c r="G79" s="566">
        <v>15</v>
      </c>
      <c r="H79" s="566">
        <v>7</v>
      </c>
      <c r="I79" s="566">
        <f t="shared" si="4"/>
        <v>69</v>
      </c>
      <c r="J79" s="566">
        <v>5</v>
      </c>
      <c r="K79" s="566">
        <v>21</v>
      </c>
      <c r="L79" s="566">
        <v>16</v>
      </c>
      <c r="M79" s="566">
        <v>16</v>
      </c>
      <c r="N79" s="566">
        <v>14</v>
      </c>
      <c r="O79" s="566">
        <v>1</v>
      </c>
      <c r="P79" s="566">
        <f t="shared" si="9"/>
        <v>73</v>
      </c>
      <c r="Q79" s="567">
        <f t="shared" si="6"/>
        <v>142</v>
      </c>
    </row>
    <row r="80" spans="1:17" s="226" customFormat="1" ht="19.5" thickBot="1" x14ac:dyDescent="0.2">
      <c r="A80" s="226">
        <v>76</v>
      </c>
      <c r="B80" s="613" t="s">
        <v>563</v>
      </c>
      <c r="C80" s="610"/>
      <c r="D80" s="610">
        <v>5</v>
      </c>
      <c r="E80" s="610">
        <v>7</v>
      </c>
      <c r="F80" s="610">
        <v>32</v>
      </c>
      <c r="G80" s="610">
        <v>14</v>
      </c>
      <c r="H80" s="610">
        <v>3</v>
      </c>
      <c r="I80" s="610">
        <f t="shared" si="4"/>
        <v>61</v>
      </c>
      <c r="J80" s="610">
        <v>1</v>
      </c>
      <c r="K80" s="610">
        <v>9</v>
      </c>
      <c r="L80" s="610">
        <v>12</v>
      </c>
      <c r="M80" s="610">
        <v>12</v>
      </c>
      <c r="N80" s="610">
        <v>8</v>
      </c>
      <c r="O80" s="610"/>
      <c r="P80" s="610">
        <f t="shared" si="9"/>
        <v>42</v>
      </c>
      <c r="Q80" s="611">
        <f t="shared" si="6"/>
        <v>103</v>
      </c>
    </row>
    <row r="81" spans="1:17" s="226" customFormat="1" ht="19.5" thickBot="1" x14ac:dyDescent="0.2">
      <c r="B81" s="614" t="s">
        <v>564</v>
      </c>
      <c r="C81" s="607">
        <f>SUM(C82:C87)</f>
        <v>2</v>
      </c>
      <c r="D81" s="607">
        <f t="shared" ref="D81:O81" si="10">SUM(D82:D87)</f>
        <v>58</v>
      </c>
      <c r="E81" s="607">
        <f t="shared" si="10"/>
        <v>106</v>
      </c>
      <c r="F81" s="607">
        <f t="shared" si="10"/>
        <v>323</v>
      </c>
      <c r="G81" s="607">
        <f t="shared" si="10"/>
        <v>236</v>
      </c>
      <c r="H81" s="607">
        <f t="shared" si="10"/>
        <v>46</v>
      </c>
      <c r="I81" s="607">
        <f t="shared" si="10"/>
        <v>771</v>
      </c>
      <c r="J81" s="607">
        <f t="shared" si="10"/>
        <v>21</v>
      </c>
      <c r="K81" s="607">
        <f t="shared" si="10"/>
        <v>63</v>
      </c>
      <c r="L81" s="607">
        <f t="shared" si="10"/>
        <v>98</v>
      </c>
      <c r="M81" s="607">
        <f t="shared" si="10"/>
        <v>133</v>
      </c>
      <c r="N81" s="607">
        <f t="shared" si="10"/>
        <v>95</v>
      </c>
      <c r="O81" s="607">
        <f t="shared" si="10"/>
        <v>11</v>
      </c>
      <c r="P81" s="607">
        <f>SUM(P82:P87)</f>
        <v>421</v>
      </c>
      <c r="Q81" s="608">
        <f t="shared" si="6"/>
        <v>1192</v>
      </c>
    </row>
    <row r="82" spans="1:17" s="226" customFormat="1" x14ac:dyDescent="0.15">
      <c r="A82" s="226">
        <v>80</v>
      </c>
      <c r="B82" s="603" t="s">
        <v>565</v>
      </c>
      <c r="C82" s="604"/>
      <c r="D82" s="604"/>
      <c r="E82" s="604">
        <v>3</v>
      </c>
      <c r="F82" s="604">
        <v>3</v>
      </c>
      <c r="G82" s="604">
        <v>2</v>
      </c>
      <c r="H82" s="604">
        <v>1</v>
      </c>
      <c r="I82" s="604">
        <f t="shared" si="4"/>
        <v>9</v>
      </c>
      <c r="J82" s="604">
        <v>4</v>
      </c>
      <c r="K82" s="604">
        <v>1</v>
      </c>
      <c r="L82" s="604">
        <v>2</v>
      </c>
      <c r="M82" s="604">
        <v>4</v>
      </c>
      <c r="N82" s="604">
        <v>1</v>
      </c>
      <c r="O82" s="604"/>
      <c r="P82" s="604">
        <f>SUM(J82:O82)</f>
        <v>12</v>
      </c>
      <c r="Q82" s="605">
        <f t="shared" si="6"/>
        <v>21</v>
      </c>
    </row>
    <row r="83" spans="1:17" s="226" customFormat="1" x14ac:dyDescent="0.15">
      <c r="A83" s="226">
        <v>81</v>
      </c>
      <c r="B83" s="568" t="s">
        <v>566</v>
      </c>
      <c r="C83" s="566"/>
      <c r="D83" s="566">
        <v>11</v>
      </c>
      <c r="E83" s="566">
        <v>11</v>
      </c>
      <c r="F83" s="566">
        <v>46</v>
      </c>
      <c r="G83" s="566">
        <v>24</v>
      </c>
      <c r="H83" s="566">
        <v>2</v>
      </c>
      <c r="I83" s="566">
        <f t="shared" si="4"/>
        <v>94</v>
      </c>
      <c r="J83" s="566">
        <v>5</v>
      </c>
      <c r="K83" s="566">
        <v>4</v>
      </c>
      <c r="L83" s="566">
        <v>16</v>
      </c>
      <c r="M83" s="566">
        <v>24</v>
      </c>
      <c r="N83" s="566">
        <v>16</v>
      </c>
      <c r="O83" s="566">
        <v>2</v>
      </c>
      <c r="P83" s="566">
        <f t="shared" ref="P83:P88" si="11">SUM(J83:O83)</f>
        <v>67</v>
      </c>
      <c r="Q83" s="567">
        <f t="shared" si="6"/>
        <v>161</v>
      </c>
    </row>
    <row r="84" spans="1:17" s="226" customFormat="1" x14ac:dyDescent="0.15">
      <c r="A84" s="226">
        <v>82</v>
      </c>
      <c r="B84" s="568" t="s">
        <v>567</v>
      </c>
      <c r="C84" s="566"/>
      <c r="D84" s="566">
        <v>11</v>
      </c>
      <c r="E84" s="566">
        <v>19</v>
      </c>
      <c r="F84" s="566">
        <v>44</v>
      </c>
      <c r="G84" s="566">
        <v>34</v>
      </c>
      <c r="H84" s="566">
        <v>3</v>
      </c>
      <c r="I84" s="566">
        <f t="shared" si="4"/>
        <v>111</v>
      </c>
      <c r="J84" s="566">
        <v>3</v>
      </c>
      <c r="K84" s="566">
        <v>10</v>
      </c>
      <c r="L84" s="566">
        <v>15</v>
      </c>
      <c r="M84" s="566">
        <v>18</v>
      </c>
      <c r="N84" s="566">
        <v>20</v>
      </c>
      <c r="O84" s="566"/>
      <c r="P84" s="566">
        <f t="shared" si="11"/>
        <v>66</v>
      </c>
      <c r="Q84" s="567">
        <f t="shared" si="6"/>
        <v>177</v>
      </c>
    </row>
    <row r="85" spans="1:17" s="226" customFormat="1" x14ac:dyDescent="0.15">
      <c r="A85" s="226">
        <v>83</v>
      </c>
      <c r="B85" s="568" t="s">
        <v>568</v>
      </c>
      <c r="C85" s="566">
        <v>2</v>
      </c>
      <c r="D85" s="566">
        <v>22</v>
      </c>
      <c r="E85" s="566">
        <v>45</v>
      </c>
      <c r="F85" s="566">
        <v>123</v>
      </c>
      <c r="G85" s="566">
        <v>108</v>
      </c>
      <c r="H85" s="566">
        <v>22</v>
      </c>
      <c r="I85" s="566">
        <f t="shared" si="4"/>
        <v>322</v>
      </c>
      <c r="J85" s="566">
        <v>4</v>
      </c>
      <c r="K85" s="566">
        <v>28</v>
      </c>
      <c r="L85" s="566">
        <v>40</v>
      </c>
      <c r="M85" s="566">
        <v>54</v>
      </c>
      <c r="N85" s="566">
        <v>43</v>
      </c>
      <c r="O85" s="566">
        <v>8</v>
      </c>
      <c r="P85" s="566">
        <f t="shared" si="11"/>
        <v>177</v>
      </c>
      <c r="Q85" s="567">
        <f t="shared" si="6"/>
        <v>499</v>
      </c>
    </row>
    <row r="86" spans="1:17" s="226" customFormat="1" x14ac:dyDescent="0.15">
      <c r="A86" s="226">
        <v>84</v>
      </c>
      <c r="B86" s="568" t="s">
        <v>569</v>
      </c>
      <c r="C86" s="566"/>
      <c r="D86" s="566">
        <v>7</v>
      </c>
      <c r="E86" s="566">
        <v>19</v>
      </c>
      <c r="F86" s="566">
        <v>67</v>
      </c>
      <c r="G86" s="566">
        <v>45</v>
      </c>
      <c r="H86" s="566">
        <v>12</v>
      </c>
      <c r="I86" s="566">
        <f t="shared" si="4"/>
        <v>150</v>
      </c>
      <c r="J86" s="566">
        <v>3</v>
      </c>
      <c r="K86" s="566">
        <v>15</v>
      </c>
      <c r="L86" s="566">
        <v>13</v>
      </c>
      <c r="M86" s="566">
        <v>19</v>
      </c>
      <c r="N86" s="566">
        <v>7</v>
      </c>
      <c r="O86" s="566">
        <v>1</v>
      </c>
      <c r="P86" s="566">
        <f t="shared" si="11"/>
        <v>58</v>
      </c>
      <c r="Q86" s="567">
        <f t="shared" si="6"/>
        <v>208</v>
      </c>
    </row>
    <row r="87" spans="1:17" s="226" customFormat="1" ht="19.5" thickBot="1" x14ac:dyDescent="0.2">
      <c r="A87" s="226">
        <v>85</v>
      </c>
      <c r="B87" s="609" t="s">
        <v>412</v>
      </c>
      <c r="C87" s="610"/>
      <c r="D87" s="610">
        <v>7</v>
      </c>
      <c r="E87" s="610">
        <v>9</v>
      </c>
      <c r="F87" s="610">
        <v>40</v>
      </c>
      <c r="G87" s="610">
        <v>23</v>
      </c>
      <c r="H87" s="610">
        <v>6</v>
      </c>
      <c r="I87" s="610">
        <f t="shared" si="4"/>
        <v>85</v>
      </c>
      <c r="J87" s="610">
        <v>2</v>
      </c>
      <c r="K87" s="610">
        <v>5</v>
      </c>
      <c r="L87" s="610">
        <v>12</v>
      </c>
      <c r="M87" s="610">
        <v>14</v>
      </c>
      <c r="N87" s="610">
        <v>8</v>
      </c>
      <c r="O87" s="610"/>
      <c r="P87" s="610">
        <f t="shared" si="11"/>
        <v>41</v>
      </c>
      <c r="Q87" s="611">
        <f t="shared" si="6"/>
        <v>126</v>
      </c>
    </row>
    <row r="88" spans="1:17" s="226" customFormat="1" ht="19.5" thickBot="1" x14ac:dyDescent="0.2">
      <c r="A88" s="226">
        <v>99</v>
      </c>
      <c r="B88" s="606" t="s">
        <v>570</v>
      </c>
      <c r="C88" s="617"/>
      <c r="D88" s="617">
        <v>3</v>
      </c>
      <c r="E88" s="617">
        <v>15</v>
      </c>
      <c r="F88" s="617">
        <v>37</v>
      </c>
      <c r="G88" s="617">
        <v>21</v>
      </c>
      <c r="H88" s="617">
        <v>6</v>
      </c>
      <c r="I88" s="617">
        <f t="shared" si="4"/>
        <v>82</v>
      </c>
      <c r="J88" s="617">
        <v>2</v>
      </c>
      <c r="K88" s="617">
        <v>4</v>
      </c>
      <c r="L88" s="617">
        <v>6</v>
      </c>
      <c r="M88" s="617">
        <v>8</v>
      </c>
      <c r="N88" s="617">
        <v>4</v>
      </c>
      <c r="O88" s="617">
        <v>2</v>
      </c>
      <c r="P88" s="617">
        <f t="shared" si="11"/>
        <v>26</v>
      </c>
      <c r="Q88" s="608">
        <f t="shared" si="6"/>
        <v>108</v>
      </c>
    </row>
    <row r="89" spans="1:17" s="226" customFormat="1" x14ac:dyDescent="0.15">
      <c r="B89" s="615" t="s">
        <v>11</v>
      </c>
      <c r="C89" s="616">
        <f>SUM(C5:C45,C49:C72,C74:C80,C82:C87,C88)</f>
        <v>52</v>
      </c>
      <c r="D89" s="616">
        <f t="shared" ref="D89:O89" si="12">SUM(D5:D45,D49:D72,D74:D80,D82:D87,D88)</f>
        <v>501</v>
      </c>
      <c r="E89" s="616">
        <f t="shared" si="12"/>
        <v>1423</v>
      </c>
      <c r="F89" s="616">
        <f t="shared" si="12"/>
        <v>3958</v>
      </c>
      <c r="G89" s="616">
        <f t="shared" si="12"/>
        <v>2629</v>
      </c>
      <c r="H89" s="616">
        <f>SUM(H5:H45,H49:H72,H74:H80,H82:H87,H88)</f>
        <v>499</v>
      </c>
      <c r="I89" s="616">
        <f>SUM(I5:I45,I49:I72,I74:I80,I82:I87,I88)</f>
        <v>9062</v>
      </c>
      <c r="J89" s="616">
        <f t="shared" si="12"/>
        <v>287</v>
      </c>
      <c r="K89" s="616">
        <f t="shared" si="12"/>
        <v>926</v>
      </c>
      <c r="L89" s="616">
        <f t="shared" si="12"/>
        <v>1446</v>
      </c>
      <c r="M89" s="616">
        <f t="shared" si="12"/>
        <v>2062</v>
      </c>
      <c r="N89" s="616">
        <f t="shared" si="12"/>
        <v>1304</v>
      </c>
      <c r="O89" s="616">
        <f t="shared" si="12"/>
        <v>166</v>
      </c>
      <c r="P89" s="616">
        <f>SUM(P5:P45,P49:P72,P74:P80,P82:P87,P88)</f>
        <v>6191</v>
      </c>
      <c r="Q89" s="616">
        <f>SUM(Q5:Q45,Q49:Q72,Q74:Q80,Q82:Q87,Q88)</f>
        <v>15253</v>
      </c>
    </row>
  </sheetData>
  <mergeCells count="6">
    <mergeCell ref="C3:I3"/>
    <mergeCell ref="J3:P3"/>
    <mergeCell ref="Q3:Q4"/>
    <mergeCell ref="C46:I46"/>
    <mergeCell ref="J46:P46"/>
    <mergeCell ref="Q46:Q47"/>
  </mergeCells>
  <phoneticPr fontId="2"/>
  <printOptions horizontalCentered="1"/>
  <pageMargins left="0.70866141732283472" right="0.70866141732283472" top="0.74803149606299213" bottom="0.74803149606299213" header="0.31496062992125984" footer="0.31496062992125984"/>
  <pageSetup paperSize="9" scale="93" fitToWidth="0" fitToHeight="0" orientation="portrait" r:id="rId1"/>
  <rowBreaks count="1" manualBreakCount="1">
    <brk id="47" min="1"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50177" r:id="rId4" name="Button 1">
              <controlPr defaultSize="0" print="0" autoFill="0" autoPict="0" macro="[0]!データ削除38">
                <anchor moveWithCells="1" sizeWithCells="1">
                  <from>
                    <xdr:col>18</xdr:col>
                    <xdr:colOff>190500</xdr:colOff>
                    <xdr:row>2</xdr:row>
                    <xdr:rowOff>209550</xdr:rowOff>
                  </from>
                  <to>
                    <xdr:col>20</xdr:col>
                    <xdr:colOff>571500</xdr:colOff>
                    <xdr:row>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249977111117893"/>
    <pageSetUpPr fitToPage="1"/>
  </sheetPr>
  <dimension ref="A1:U64"/>
  <sheetViews>
    <sheetView showGridLines="0" topLeftCell="A7" zoomScale="80" zoomScaleNormal="80" zoomScaleSheetLayoutView="80" workbookViewId="0">
      <selection activeCell="F4" sqref="F4:K20"/>
    </sheetView>
  </sheetViews>
  <sheetFormatPr defaultRowHeight="18.75" customHeight="1" x14ac:dyDescent="0.15"/>
  <cols>
    <col min="1" max="1" width="3.125" style="1" customWidth="1"/>
    <col min="2" max="2" width="52.5" style="1" customWidth="1"/>
    <col min="3" max="4" width="9.375" style="1" customWidth="1"/>
    <col min="5" max="5" width="4.125" style="1" customWidth="1"/>
    <col min="6" max="6" width="8.75" style="1" customWidth="1"/>
    <col min="7" max="7" width="43.75" style="1" customWidth="1"/>
    <col min="8" max="10" width="9.375" style="1" customWidth="1"/>
    <col min="11" max="11" width="10.25" style="1" customWidth="1"/>
    <col min="12" max="12" width="5" style="1" customWidth="1"/>
    <col min="13" max="13" width="71" style="1" customWidth="1"/>
    <col min="14" max="14" width="7.375" style="1" customWidth="1"/>
    <col min="15" max="15" width="17.25" style="1" hidden="1" customWidth="1"/>
    <col min="16" max="16" width="15.625" style="1" hidden="1" customWidth="1"/>
    <col min="17" max="17" width="7.375" style="1" hidden="1" customWidth="1"/>
    <col min="18" max="20" width="9" style="1"/>
    <col min="21" max="21" width="11.875" style="1" customWidth="1"/>
    <col min="22" max="16384" width="9" style="1"/>
  </cols>
  <sheetData>
    <row r="1" spans="1:21" s="3" customFormat="1" ht="18.75" customHeight="1" x14ac:dyDescent="0.15">
      <c r="A1" s="2" t="s">
        <v>119</v>
      </c>
      <c r="B1" s="2"/>
    </row>
    <row r="2" spans="1:21" ht="18.75" customHeight="1" x14ac:dyDescent="0.15">
      <c r="A2" s="4"/>
      <c r="B2" s="4"/>
      <c r="M2" s="158"/>
      <c r="N2" s="33"/>
      <c r="O2" s="33"/>
      <c r="P2" s="33"/>
      <c r="R2" s="158"/>
      <c r="S2" s="33"/>
      <c r="T2" s="33"/>
      <c r="U2" s="33"/>
    </row>
    <row r="3" spans="1:21" s="3" customFormat="1" ht="18.75" customHeight="1" x14ac:dyDescent="0.15">
      <c r="A3" s="4" t="s">
        <v>13</v>
      </c>
      <c r="B3" s="4"/>
      <c r="F3" s="4" t="s">
        <v>113</v>
      </c>
      <c r="G3" s="4"/>
      <c r="M3" s="187"/>
      <c r="N3" s="38"/>
      <c r="O3" s="39"/>
      <c r="P3" s="36"/>
      <c r="Q3" s="1"/>
      <c r="R3" s="187"/>
      <c r="S3" s="38"/>
      <c r="T3" s="39"/>
      <c r="U3" s="36"/>
    </row>
    <row r="4" spans="1:21" ht="18.75" customHeight="1" x14ac:dyDescent="0.15">
      <c r="A4" s="250"/>
      <c r="B4" s="251"/>
      <c r="C4" s="258" t="s">
        <v>0</v>
      </c>
      <c r="D4" s="258" t="s">
        <v>1</v>
      </c>
      <c r="F4" s="270"/>
      <c r="G4" s="271"/>
      <c r="H4" s="258" t="s">
        <v>114</v>
      </c>
      <c r="I4" s="258" t="s">
        <v>116</v>
      </c>
      <c r="J4" s="258" t="s">
        <v>12</v>
      </c>
      <c r="K4" s="258" t="s">
        <v>1</v>
      </c>
      <c r="M4" s="55" t="s">
        <v>295</v>
      </c>
      <c r="N4" s="411" t="s">
        <v>325</v>
      </c>
      <c r="O4" s="16" t="s">
        <v>366</v>
      </c>
      <c r="P4" s="36"/>
      <c r="R4" s="187"/>
      <c r="S4" s="38"/>
      <c r="T4" s="39"/>
      <c r="U4" s="36"/>
    </row>
    <row r="5" spans="1:21" ht="18.75" customHeight="1" x14ac:dyDescent="0.15">
      <c r="A5" s="641" t="s">
        <v>120</v>
      </c>
      <c r="B5" s="642"/>
      <c r="C5" s="259">
        <f>SUM(C6:C8)</f>
        <v>4347</v>
      </c>
      <c r="D5" s="260">
        <f>SUM(D6:D8)</f>
        <v>0.28499311610830658</v>
      </c>
      <c r="F5" s="640" t="s">
        <v>120</v>
      </c>
      <c r="G5" s="637"/>
      <c r="H5" s="261">
        <f t="shared" ref="H5:I5" si="0">SUM(H6:H8)</f>
        <v>56</v>
      </c>
      <c r="I5" s="259">
        <f t="shared" si="0"/>
        <v>242</v>
      </c>
      <c r="J5" s="259">
        <f>SUM(H5:I5)</f>
        <v>298</v>
      </c>
      <c r="K5" s="300">
        <f>IFERROR(J5/J$20,"-")</f>
        <v>0.16874292185730463</v>
      </c>
      <c r="M5" s="55" t="s">
        <v>284</v>
      </c>
      <c r="N5" s="411" t="s">
        <v>314</v>
      </c>
      <c r="O5" s="16" t="s">
        <v>367</v>
      </c>
      <c r="P5" s="36"/>
      <c r="R5" s="187"/>
      <c r="S5" s="38"/>
      <c r="T5" s="39"/>
      <c r="U5" s="36"/>
    </row>
    <row r="6" spans="1:21" ht="39.75" customHeight="1" x14ac:dyDescent="0.15">
      <c r="A6" s="252"/>
      <c r="B6" s="255" t="s">
        <v>121</v>
      </c>
      <c r="C6" s="264">
        <f>IFERROR(VLOOKUP($M4,疾患別[#All],2,FALSE),0)</f>
        <v>2116</v>
      </c>
      <c r="D6" s="265">
        <f>IFERROR(C6/C$20,"-")</f>
        <v>0.13872680784108044</v>
      </c>
      <c r="F6" s="252"/>
      <c r="G6" s="626" t="s">
        <v>121</v>
      </c>
      <c r="H6" s="264">
        <f>IFERROR(VLOOKUP($M4,疾患別＿寛解[#All],2,FALSE),0)</f>
        <v>21</v>
      </c>
      <c r="I6" s="264">
        <f>IFERROR(VLOOKUP($M4,疾患別＿院内寛解[#All],2,FALSE),0)</f>
        <v>100</v>
      </c>
      <c r="J6" s="276">
        <f t="shared" ref="J6:J19" si="1">SUM(H6:I6)</f>
        <v>121</v>
      </c>
      <c r="K6" s="277">
        <f t="shared" ref="K6:K19" si="2">IFERROR(J6/J$20,"-")</f>
        <v>6.8516421291053231E-2</v>
      </c>
      <c r="M6" s="55" t="s">
        <v>285</v>
      </c>
      <c r="N6" s="411" t="s">
        <v>315</v>
      </c>
      <c r="O6" s="39"/>
      <c r="P6" s="36"/>
      <c r="R6" s="187"/>
      <c r="S6" s="38"/>
      <c r="T6" s="39"/>
      <c r="U6" s="36"/>
    </row>
    <row r="7" spans="1:21" ht="18.75" customHeight="1" x14ac:dyDescent="0.15">
      <c r="A7" s="252"/>
      <c r="B7" s="256" t="s">
        <v>122</v>
      </c>
      <c r="C7" s="264">
        <f>IFERROR(VLOOKUP($M5,疾患別[#All],2,FALSE),0)</f>
        <v>336</v>
      </c>
      <c r="D7" s="267">
        <f t="shared" ref="D7:D19" si="3">IFERROR(C7/C$20,"-")</f>
        <v>2.202845341899954E-2</v>
      </c>
      <c r="F7" s="252"/>
      <c r="G7" s="256" t="s">
        <v>106</v>
      </c>
      <c r="H7" s="278">
        <f>IFERROR(VLOOKUP($M5,疾患別＿寛解[#All],2,FALSE),0)</f>
        <v>2</v>
      </c>
      <c r="I7" s="278">
        <f>IFERROR(VLOOKUP($M5,疾患別＿院内寛解[#All],2,FALSE),0)</f>
        <v>19</v>
      </c>
      <c r="J7" s="279">
        <f t="shared" si="1"/>
        <v>21</v>
      </c>
      <c r="K7" s="280">
        <f t="shared" si="2"/>
        <v>1.189127972819932E-2</v>
      </c>
      <c r="M7" s="55" t="s">
        <v>286</v>
      </c>
      <c r="N7" s="411" t="s">
        <v>316</v>
      </c>
      <c r="O7" s="39"/>
      <c r="P7" s="36"/>
      <c r="R7" s="187"/>
      <c r="S7" s="38"/>
      <c r="T7" s="39"/>
      <c r="U7" s="36"/>
    </row>
    <row r="8" spans="1:21" ht="37.5" customHeight="1" x14ac:dyDescent="0.15">
      <c r="A8" s="253"/>
      <c r="B8" s="257" t="s">
        <v>19</v>
      </c>
      <c r="C8" s="264">
        <f>IFERROR(VLOOKUP($M6,疾患別[#All],2,FALSE),0)</f>
        <v>1895</v>
      </c>
      <c r="D8" s="269">
        <f t="shared" si="3"/>
        <v>0.12423785484822658</v>
      </c>
      <c r="F8" s="284"/>
      <c r="G8" s="274" t="s">
        <v>19</v>
      </c>
      <c r="H8" s="281">
        <f>IFERROR(VLOOKUP($M6,疾患別＿寛解[#All],2,FALSE),0)</f>
        <v>33</v>
      </c>
      <c r="I8" s="281">
        <f>IFERROR(VLOOKUP($M6,疾患別＿院内寛解[#All],2,FALSE),0)</f>
        <v>123</v>
      </c>
      <c r="J8" s="282">
        <f t="shared" si="1"/>
        <v>156</v>
      </c>
      <c r="K8" s="283">
        <f t="shared" si="2"/>
        <v>8.8335220838052092E-2</v>
      </c>
      <c r="M8" s="55" t="s">
        <v>312</v>
      </c>
      <c r="N8" s="411" t="s">
        <v>317</v>
      </c>
      <c r="O8" s="39"/>
      <c r="P8" s="36"/>
      <c r="R8" s="187"/>
      <c r="S8" s="38"/>
      <c r="T8" s="39"/>
      <c r="U8" s="36"/>
    </row>
    <row r="9" spans="1:21" ht="18.75" customHeight="1" x14ac:dyDescent="0.15">
      <c r="A9" s="630" t="s">
        <v>20</v>
      </c>
      <c r="B9" s="631"/>
      <c r="C9" s="261">
        <f>IFERROR(VLOOKUP($M7,疾患別[#All],2,FALSE),0)+IFERROR(VLOOKUP($M8,疾患別[#All],2,FALSE),0)+IFERROR(VLOOKUP($M9,疾患別[#All],2,FALSE),0)</f>
        <v>830</v>
      </c>
      <c r="D9" s="472">
        <f t="shared" si="3"/>
        <v>5.4415524814790533E-2</v>
      </c>
      <c r="F9" s="636" t="s">
        <v>20</v>
      </c>
      <c r="G9" s="637"/>
      <c r="H9" s="261">
        <f>IFERROR(VLOOKUP($M7,疾患別＿寛解[#All],2,FALSE),0)+IFERROR(VLOOKUP($M8,疾患別＿寛解[#All],2,FALSE),0)+IFERROR(VLOOKUP($M9,疾患別＿寛解[#All],2,FALSE),0)</f>
        <v>41</v>
      </c>
      <c r="I9" s="261">
        <f>IFERROR(VLOOKUP($M7,疾患別＿院内寛解[#All],2,FALSE),0)+IFERROR(VLOOKUP($M8,疾患別＿院内寛解[#All],2,FALSE),0)+IFERROR(VLOOKUP($M9,疾患別＿院内寛解[#All],2,FALSE),0)</f>
        <v>209</v>
      </c>
      <c r="J9" s="259">
        <f t="shared" si="1"/>
        <v>250</v>
      </c>
      <c r="K9" s="471">
        <f t="shared" si="2"/>
        <v>0.14156285390713477</v>
      </c>
      <c r="M9" s="55" t="s">
        <v>313</v>
      </c>
      <c r="N9" s="411" t="s">
        <v>318</v>
      </c>
      <c r="O9" s="39"/>
      <c r="P9" s="36"/>
      <c r="R9" s="187"/>
      <c r="S9" s="38"/>
      <c r="T9" s="39"/>
      <c r="U9" s="36"/>
    </row>
    <row r="10" spans="1:21" ht="18.75" customHeight="1" x14ac:dyDescent="0.15">
      <c r="A10" s="630" t="s">
        <v>272</v>
      </c>
      <c r="B10" s="631"/>
      <c r="C10" s="261">
        <f>IFERROR(VLOOKUP($M10,疾患別[#All],2,FALSE),0)</f>
        <v>7586</v>
      </c>
      <c r="D10" s="472">
        <f t="shared" si="3"/>
        <v>0.49734478463253129</v>
      </c>
      <c r="F10" s="636" t="s">
        <v>272</v>
      </c>
      <c r="G10" s="637"/>
      <c r="H10" s="261">
        <f>IFERROR(VLOOKUP($M10,疾患別＿寛解[#All],2,FALSE),0)</f>
        <v>120</v>
      </c>
      <c r="I10" s="261">
        <f>IFERROR(VLOOKUP($M10,疾患別＿院内寛解[#All],2,FALSE),0)</f>
        <v>587</v>
      </c>
      <c r="J10" s="259">
        <f t="shared" si="1"/>
        <v>707</v>
      </c>
      <c r="K10" s="471">
        <f t="shared" si="2"/>
        <v>0.40033975084937712</v>
      </c>
      <c r="M10" s="55" t="s">
        <v>287</v>
      </c>
      <c r="N10" s="411" t="s">
        <v>319</v>
      </c>
      <c r="O10" s="39"/>
      <c r="P10" s="36"/>
      <c r="R10" s="187"/>
      <c r="S10" s="38"/>
      <c r="T10" s="39"/>
      <c r="U10" s="36"/>
    </row>
    <row r="11" spans="1:21" ht="18.75" customHeight="1" x14ac:dyDescent="0.15">
      <c r="A11" s="630" t="s">
        <v>22</v>
      </c>
      <c r="B11" s="631"/>
      <c r="C11" s="261">
        <f>IFERROR(VLOOKUP($M11,疾患別[#All],2,FALSE),0)+IFERROR(VLOOKUP($M12,疾患別[#All],2,FALSE),0)</f>
        <v>1529</v>
      </c>
      <c r="D11" s="472">
        <f t="shared" si="3"/>
        <v>0.10024257523110208</v>
      </c>
      <c r="F11" s="636" t="s">
        <v>22</v>
      </c>
      <c r="G11" s="637"/>
      <c r="H11" s="261">
        <f>IFERROR(VLOOKUP($M11,疾患別＿寛解[#All],2,FALSE),0)+IFERROR(VLOOKUP($M12,疾患別＿寛解[#All],2,FALSE),0)</f>
        <v>77</v>
      </c>
      <c r="I11" s="261">
        <f>IFERROR(VLOOKUP($M11,疾患別＿院内寛解[#All],2,FALSE),0)+IFERROR(VLOOKUP($M12,疾患別＿院内寛解[#All],2,FALSE),0)</f>
        <v>254</v>
      </c>
      <c r="J11" s="259">
        <f t="shared" si="1"/>
        <v>331</v>
      </c>
      <c r="K11" s="471">
        <f t="shared" si="2"/>
        <v>0.18742921857304642</v>
      </c>
      <c r="M11" s="55" t="s">
        <v>288</v>
      </c>
      <c r="N11" s="411" t="s">
        <v>320</v>
      </c>
      <c r="O11" s="39"/>
      <c r="P11" s="36"/>
      <c r="R11" s="187"/>
      <c r="S11" s="38"/>
      <c r="T11" s="39"/>
      <c r="U11" s="36"/>
    </row>
    <row r="12" spans="1:21" ht="18.75" customHeight="1" x14ac:dyDescent="0.15">
      <c r="A12" s="630" t="s">
        <v>107</v>
      </c>
      <c r="B12" s="631"/>
      <c r="C12" s="261">
        <f>IFERROR(VLOOKUP($M13,疾患別[#All],2,FALSE),0)</f>
        <v>248</v>
      </c>
      <c r="D12" s="472">
        <f t="shared" si="3"/>
        <v>1.6259096571166327E-2</v>
      </c>
      <c r="F12" s="636" t="s">
        <v>24</v>
      </c>
      <c r="G12" s="637"/>
      <c r="H12" s="261">
        <f>IFERROR(VLOOKUP($M13,疾患別＿寛解[#All],2,FALSE),0)</f>
        <v>29</v>
      </c>
      <c r="I12" s="261">
        <f>IFERROR(VLOOKUP($M13,疾患別＿院内寛解[#All],2,FALSE),0)</f>
        <v>49</v>
      </c>
      <c r="J12" s="259">
        <f t="shared" si="1"/>
        <v>78</v>
      </c>
      <c r="K12" s="471">
        <f t="shared" si="2"/>
        <v>4.4167610419026046E-2</v>
      </c>
      <c r="M12" s="55" t="s">
        <v>289</v>
      </c>
      <c r="N12" s="411" t="s">
        <v>321</v>
      </c>
      <c r="O12" s="39"/>
      <c r="P12" s="36"/>
      <c r="R12" s="188"/>
      <c r="S12" s="38"/>
      <c r="T12" s="39"/>
      <c r="U12" s="36"/>
    </row>
    <row r="13" spans="1:21" ht="18.75" customHeight="1" x14ac:dyDescent="0.15">
      <c r="A13" s="630" t="s">
        <v>108</v>
      </c>
      <c r="B13" s="631"/>
      <c r="C13" s="261">
        <f>IFERROR(VLOOKUP($M14,疾患別[#All],2,FALSE),0)</f>
        <v>49</v>
      </c>
      <c r="D13" s="472">
        <f t="shared" si="3"/>
        <v>3.2124827902707664E-3</v>
      </c>
      <c r="F13" s="636" t="s">
        <v>25</v>
      </c>
      <c r="G13" s="637"/>
      <c r="H13" s="261">
        <f>IFERROR(VLOOKUP($M14,疾患別＿寛解[#All],2,FALSE),0)</f>
        <v>2</v>
      </c>
      <c r="I13" s="261">
        <f>IFERROR(VLOOKUP($M14,疾患別＿院内寛解[#All],2,FALSE),0)</f>
        <v>10</v>
      </c>
      <c r="J13" s="259">
        <f t="shared" si="1"/>
        <v>12</v>
      </c>
      <c r="K13" s="471">
        <f t="shared" si="2"/>
        <v>6.7950169875424689E-3</v>
      </c>
      <c r="M13" s="55" t="s">
        <v>290</v>
      </c>
      <c r="N13" s="411" t="s">
        <v>322</v>
      </c>
      <c r="O13" s="39"/>
      <c r="P13" s="36"/>
      <c r="R13" s="188"/>
      <c r="S13" s="38"/>
      <c r="T13" s="39"/>
      <c r="U13" s="36"/>
    </row>
    <row r="14" spans="1:21" ht="18.75" customHeight="1" x14ac:dyDescent="0.15">
      <c r="A14" s="630" t="s">
        <v>256</v>
      </c>
      <c r="B14" s="631"/>
      <c r="C14" s="261">
        <f>IFERROR(VLOOKUP($M15,疾患別[#All],2,FALSE),0)</f>
        <v>50</v>
      </c>
      <c r="D14" s="472">
        <f t="shared" si="3"/>
        <v>3.2780436635415984E-3</v>
      </c>
      <c r="F14" s="636" t="s">
        <v>256</v>
      </c>
      <c r="G14" s="637"/>
      <c r="H14" s="261">
        <f>IFERROR(VLOOKUP($M15,疾患別＿寛解[#All],2,FALSE),0)</f>
        <v>3</v>
      </c>
      <c r="I14" s="261">
        <f>IFERROR(VLOOKUP($M15,疾患別＿院内寛解[#All],2,FALSE),0)</f>
        <v>13</v>
      </c>
      <c r="J14" s="259">
        <f t="shared" si="1"/>
        <v>16</v>
      </c>
      <c r="K14" s="471">
        <f t="shared" si="2"/>
        <v>9.0600226500566258E-3</v>
      </c>
      <c r="M14" s="55" t="s">
        <v>291</v>
      </c>
      <c r="N14" s="411" t="s">
        <v>323</v>
      </c>
      <c r="O14" s="39"/>
      <c r="P14" s="36"/>
      <c r="R14" s="188"/>
      <c r="S14" s="38"/>
      <c r="T14" s="39"/>
      <c r="U14" s="36"/>
    </row>
    <row r="15" spans="1:21" ht="18.75" customHeight="1" x14ac:dyDescent="0.15">
      <c r="A15" s="630" t="s">
        <v>257</v>
      </c>
      <c r="B15" s="631"/>
      <c r="C15" s="261">
        <f>IFERROR(VLOOKUP($M16,疾患別[#All],2,FALSE),0)</f>
        <v>281</v>
      </c>
      <c r="D15" s="472">
        <f t="shared" si="3"/>
        <v>1.8422605389103782E-2</v>
      </c>
      <c r="F15" s="636" t="s">
        <v>257</v>
      </c>
      <c r="G15" s="637"/>
      <c r="H15" s="261">
        <f>IFERROR(VLOOKUP($M16,疾患別＿寛解[#All],2,FALSE),0)</f>
        <v>5</v>
      </c>
      <c r="I15" s="261">
        <f>IFERROR(VLOOKUP($M16,疾患別＿院内寛解[#All],2,FALSE),0)</f>
        <v>19</v>
      </c>
      <c r="J15" s="259">
        <f t="shared" si="1"/>
        <v>24</v>
      </c>
      <c r="K15" s="471">
        <f t="shared" si="2"/>
        <v>1.3590033975084938E-2</v>
      </c>
      <c r="M15" s="55" t="s">
        <v>296</v>
      </c>
      <c r="N15" s="411" t="s">
        <v>324</v>
      </c>
      <c r="O15" s="39"/>
      <c r="P15" s="36"/>
      <c r="R15" s="187"/>
      <c r="S15" s="38"/>
      <c r="T15" s="39"/>
      <c r="U15" s="36"/>
    </row>
    <row r="16" spans="1:21" ht="18.75" customHeight="1" x14ac:dyDescent="0.15">
      <c r="A16" s="630" t="s">
        <v>23</v>
      </c>
      <c r="B16" s="631"/>
      <c r="C16" s="261">
        <f>IFERROR(VLOOKUP($M17,疾患別[#All],2,FALSE),0)</f>
        <v>124</v>
      </c>
      <c r="D16" s="472">
        <f t="shared" si="3"/>
        <v>8.1295482855831634E-3</v>
      </c>
      <c r="E16" s="142"/>
      <c r="F16" s="636" t="s">
        <v>23</v>
      </c>
      <c r="G16" s="637"/>
      <c r="H16" s="261">
        <f>IFERROR(VLOOKUP($M17,疾患別＿寛解[#All],2,FALSE),0)</f>
        <v>4</v>
      </c>
      <c r="I16" s="261">
        <f>IFERROR(VLOOKUP($M17,疾患別＿院内寛解[#All],2,FALSE),0)</f>
        <v>15</v>
      </c>
      <c r="J16" s="259">
        <f t="shared" si="1"/>
        <v>19</v>
      </c>
      <c r="K16" s="471">
        <f t="shared" si="2"/>
        <v>1.0758776896942242E-2</v>
      </c>
      <c r="M16" s="55" t="s">
        <v>292</v>
      </c>
      <c r="N16" s="38"/>
      <c r="O16" s="39"/>
      <c r="P16" s="36"/>
      <c r="R16" s="189"/>
      <c r="S16" s="38"/>
      <c r="T16" s="39"/>
      <c r="U16" s="36"/>
    </row>
    <row r="17" spans="1:21" ht="37.5" customHeight="1" x14ac:dyDescent="0.15">
      <c r="A17" s="630" t="s">
        <v>258</v>
      </c>
      <c r="B17" s="639"/>
      <c r="C17" s="261">
        <f>IFERROR(VLOOKUP($M18,疾患別[#All],2,FALSE),0)</f>
        <v>40</v>
      </c>
      <c r="D17" s="472">
        <f t="shared" si="3"/>
        <v>2.6224349308332788E-3</v>
      </c>
      <c r="E17" s="39"/>
      <c r="F17" s="636" t="s">
        <v>258</v>
      </c>
      <c r="G17" s="638"/>
      <c r="H17" s="261">
        <f>IFERROR(VLOOKUP($M18,疾患別＿寛解[#All],2,FALSE),0)</f>
        <v>0</v>
      </c>
      <c r="I17" s="261">
        <f>IFERROR(VLOOKUP($M18,疾患別＿院内寛解[#All],2,FALSE),0)</f>
        <v>7</v>
      </c>
      <c r="J17" s="259">
        <f t="shared" si="1"/>
        <v>7</v>
      </c>
      <c r="K17" s="471">
        <f t="shared" si="2"/>
        <v>3.9637599093997732E-3</v>
      </c>
      <c r="M17" s="55" t="s">
        <v>293</v>
      </c>
      <c r="N17" s="38"/>
      <c r="O17" s="39"/>
      <c r="P17" s="36"/>
      <c r="R17" s="158"/>
      <c r="S17" s="38"/>
      <c r="T17" s="39"/>
      <c r="U17" s="36"/>
    </row>
    <row r="18" spans="1:21" ht="18.75" customHeight="1" x14ac:dyDescent="0.15">
      <c r="A18" s="630" t="s">
        <v>123</v>
      </c>
      <c r="B18" s="631"/>
      <c r="C18" s="261">
        <f>IFERROR(VLOOKUP($M19,疾患別[#All],2,FALSE),0)</f>
        <v>58</v>
      </c>
      <c r="D18" s="472">
        <f t="shared" si="3"/>
        <v>3.8025306497082539E-3</v>
      </c>
      <c r="E18" s="142"/>
      <c r="F18" s="636" t="s">
        <v>123</v>
      </c>
      <c r="G18" s="637"/>
      <c r="H18" s="261">
        <f>IFERROR(VLOOKUP($M19,疾患別＿寛解[#All],2,FALSE),0)</f>
        <v>0</v>
      </c>
      <c r="I18" s="261">
        <f>IFERROR(VLOOKUP($M19,疾患別＿院内寛解[#All],2,FALSE),0)</f>
        <v>7</v>
      </c>
      <c r="J18" s="259">
        <f>SUM(H18:I18)</f>
        <v>7</v>
      </c>
      <c r="K18" s="471">
        <f t="shared" si="2"/>
        <v>3.9637599093997732E-3</v>
      </c>
      <c r="M18" s="55" t="s">
        <v>297</v>
      </c>
    </row>
    <row r="19" spans="1:21" ht="18.75" customHeight="1" x14ac:dyDescent="0.15">
      <c r="A19" s="634" t="s">
        <v>18</v>
      </c>
      <c r="B19" s="635"/>
      <c r="C19" s="261">
        <f>IFERROR(VLOOKUP($M20,疾患別[#All],2,FALSE),0)</f>
        <v>111</v>
      </c>
      <c r="D19" s="472">
        <f t="shared" si="3"/>
        <v>7.277256933062348E-3</v>
      </c>
      <c r="E19" s="39"/>
      <c r="F19" s="632" t="s">
        <v>18</v>
      </c>
      <c r="G19" s="633"/>
      <c r="H19" s="261">
        <f>IFERROR(VLOOKUP($M20,疾患別＿寛解[#All],2,FALSE),0)</f>
        <v>2</v>
      </c>
      <c r="I19" s="261">
        <f>IFERROR(VLOOKUP($M20,疾患別＿院内寛解[#All],2,FALSE),0)</f>
        <v>15</v>
      </c>
      <c r="J19" s="259">
        <f t="shared" si="1"/>
        <v>17</v>
      </c>
      <c r="K19" s="471">
        <f t="shared" si="2"/>
        <v>9.6262740656851645E-3</v>
      </c>
      <c r="M19" s="55" t="s">
        <v>294</v>
      </c>
    </row>
    <row r="20" spans="1:21" ht="18.75" customHeight="1" x14ac:dyDescent="0.15">
      <c r="A20" s="254" t="s">
        <v>11</v>
      </c>
      <c r="B20" s="18"/>
      <c r="C20" s="262">
        <f>SUM(C6:C19)</f>
        <v>15253</v>
      </c>
      <c r="D20" s="263">
        <f>SUM(D6:D19)</f>
        <v>0.99999999999999989</v>
      </c>
      <c r="F20" s="272" t="s">
        <v>11</v>
      </c>
      <c r="G20" s="273"/>
      <c r="H20" s="262">
        <f>SUM(H6:H19)</f>
        <v>339</v>
      </c>
      <c r="I20" s="262">
        <f t="shared" ref="I20:J20" si="4">SUM(I6:I19)</f>
        <v>1427</v>
      </c>
      <c r="J20" s="262">
        <f t="shared" si="4"/>
        <v>1766</v>
      </c>
      <c r="K20" s="263">
        <f>SUM(K6:K19)</f>
        <v>1</v>
      </c>
      <c r="M20" s="55" t="s">
        <v>18</v>
      </c>
    </row>
    <row r="21" spans="1:21" ht="18.75" hidden="1" customHeight="1" x14ac:dyDescent="0.15">
      <c r="A21" s="38"/>
      <c r="B21" s="56" t="s">
        <v>63</v>
      </c>
      <c r="C21" s="45"/>
      <c r="G21" s="56" t="s">
        <v>63</v>
      </c>
      <c r="M21" s="158"/>
      <c r="N21" s="33"/>
      <c r="O21" s="33"/>
      <c r="P21" s="33"/>
    </row>
    <row r="22" spans="1:21" ht="18.75" hidden="1" customHeight="1" thickBot="1" x14ac:dyDescent="0.2">
      <c r="B22" s="498" t="s">
        <v>283</v>
      </c>
      <c r="C22" s="494" t="s">
        <v>0</v>
      </c>
      <c r="G22" s="498" t="s">
        <v>283</v>
      </c>
      <c r="H22" s="494" t="s">
        <v>28</v>
      </c>
      <c r="M22" s="187"/>
      <c r="N22" s="38"/>
      <c r="O22" s="39"/>
      <c r="P22" s="36"/>
    </row>
    <row r="23" spans="1:21" s="3" customFormat="1" ht="18.75" hidden="1" customHeight="1" thickTop="1" thickBot="1" x14ac:dyDescent="0.2">
      <c r="B23" s="419" t="s">
        <v>370</v>
      </c>
      <c r="C23" s="35" t="s">
        <v>583</v>
      </c>
      <c r="F23" s="395"/>
      <c r="G23" s="419" t="s">
        <v>370</v>
      </c>
      <c r="H23" s="35" t="s">
        <v>583</v>
      </c>
      <c r="L23" s="398"/>
      <c r="M23" s="398"/>
      <c r="O23" s="39"/>
      <c r="P23" s="36"/>
    </row>
    <row r="24" spans="1:21" ht="18.75" hidden="1" customHeight="1" thickTop="1" x14ac:dyDescent="0.15">
      <c r="A24" s="43"/>
      <c r="B24" s="43" t="s">
        <v>295</v>
      </c>
      <c r="C24" s="161">
        <v>2116</v>
      </c>
      <c r="F24" s="396"/>
      <c r="G24" s="43" t="s">
        <v>295</v>
      </c>
      <c r="H24" s="161">
        <v>21</v>
      </c>
      <c r="M24" s="187"/>
      <c r="O24" s="39"/>
      <c r="P24" s="36"/>
    </row>
    <row r="25" spans="1:21" ht="18.75" hidden="1" customHeight="1" x14ac:dyDescent="0.15">
      <c r="A25" s="43"/>
      <c r="B25" s="43" t="s">
        <v>284</v>
      </c>
      <c r="C25" s="161">
        <v>336</v>
      </c>
      <c r="F25" s="397"/>
      <c r="G25" s="392" t="s">
        <v>284</v>
      </c>
      <c r="H25" s="393">
        <v>2</v>
      </c>
      <c r="M25" s="187"/>
      <c r="O25" s="39"/>
      <c r="P25" s="36"/>
    </row>
    <row r="26" spans="1:21" ht="18.75" hidden="1" customHeight="1" x14ac:dyDescent="0.15">
      <c r="A26" s="43"/>
      <c r="B26" s="43" t="s">
        <v>285</v>
      </c>
      <c r="C26" s="161">
        <v>1895</v>
      </c>
      <c r="F26" s="396"/>
      <c r="G26" s="390" t="s">
        <v>285</v>
      </c>
      <c r="H26" s="391">
        <v>33</v>
      </c>
      <c r="M26" s="187"/>
      <c r="O26" s="39"/>
      <c r="P26" s="36"/>
    </row>
    <row r="27" spans="1:21" ht="18.75" hidden="1" customHeight="1" x14ac:dyDescent="0.15">
      <c r="A27" s="43"/>
      <c r="B27" s="43" t="s">
        <v>286</v>
      </c>
      <c r="C27" s="161">
        <v>696</v>
      </c>
      <c r="F27" s="397"/>
      <c r="G27" s="392" t="s">
        <v>286</v>
      </c>
      <c r="H27" s="393">
        <v>34</v>
      </c>
      <c r="M27" s="187"/>
      <c r="O27" s="39"/>
      <c r="P27" s="36"/>
    </row>
    <row r="28" spans="1:21" ht="18.75" hidden="1" customHeight="1" x14ac:dyDescent="0.15">
      <c r="A28" s="55"/>
      <c r="B28" s="87" t="s">
        <v>200</v>
      </c>
      <c r="C28" s="161">
        <v>54</v>
      </c>
      <c r="F28" s="396"/>
      <c r="G28" s="390" t="s">
        <v>200</v>
      </c>
      <c r="H28" s="391">
        <v>1</v>
      </c>
      <c r="M28" s="187"/>
      <c r="O28" s="39"/>
      <c r="P28" s="36"/>
    </row>
    <row r="29" spans="1:21" ht="18.75" hidden="1" customHeight="1" x14ac:dyDescent="0.15">
      <c r="A29" s="43"/>
      <c r="B29" s="43" t="s">
        <v>201</v>
      </c>
      <c r="C29" s="161">
        <v>80</v>
      </c>
      <c r="F29" s="397"/>
      <c r="G29" s="392" t="s">
        <v>201</v>
      </c>
      <c r="H29" s="393">
        <v>6</v>
      </c>
      <c r="M29" s="187"/>
      <c r="O29" s="39"/>
      <c r="P29" s="36"/>
    </row>
    <row r="30" spans="1:21" ht="18.75" hidden="1" customHeight="1" x14ac:dyDescent="0.15">
      <c r="A30" s="43"/>
      <c r="B30" s="43" t="s">
        <v>287</v>
      </c>
      <c r="C30" s="161">
        <v>7586</v>
      </c>
      <c r="F30" s="396"/>
      <c r="G30" s="390" t="s">
        <v>287</v>
      </c>
      <c r="H30" s="391">
        <v>120</v>
      </c>
      <c r="O30" s="39"/>
      <c r="P30" s="36"/>
    </row>
    <row r="31" spans="1:21" ht="18.75" hidden="1" customHeight="1" x14ac:dyDescent="0.15">
      <c r="A31" s="43"/>
      <c r="B31" s="43" t="s">
        <v>288</v>
      </c>
      <c r="C31" s="161">
        <v>799</v>
      </c>
      <c r="F31" s="397"/>
      <c r="G31" s="392" t="s">
        <v>288</v>
      </c>
      <c r="H31" s="393">
        <v>34</v>
      </c>
      <c r="O31" s="39"/>
      <c r="P31" s="36"/>
    </row>
    <row r="32" spans="1:21" ht="18.75" hidden="1" customHeight="1" x14ac:dyDescent="0.15">
      <c r="A32" s="43"/>
      <c r="B32" s="43" t="s">
        <v>289</v>
      </c>
      <c r="C32" s="161">
        <v>730</v>
      </c>
      <c r="F32" s="396"/>
      <c r="G32" s="390" t="s">
        <v>289</v>
      </c>
      <c r="H32" s="391">
        <v>43</v>
      </c>
      <c r="O32" s="39"/>
      <c r="P32" s="36"/>
    </row>
    <row r="33" spans="1:16" ht="18.75" hidden="1" customHeight="1" x14ac:dyDescent="0.15">
      <c r="A33" s="43"/>
      <c r="B33" s="43" t="s">
        <v>290</v>
      </c>
      <c r="C33" s="161">
        <v>248</v>
      </c>
      <c r="F33" s="397"/>
      <c r="G33" s="392" t="s">
        <v>290</v>
      </c>
      <c r="H33" s="393">
        <v>29</v>
      </c>
      <c r="O33" s="39"/>
      <c r="P33" s="36"/>
    </row>
    <row r="34" spans="1:16" ht="18.75" hidden="1" customHeight="1" x14ac:dyDescent="0.15">
      <c r="A34" s="43"/>
      <c r="B34" s="43" t="s">
        <v>291</v>
      </c>
      <c r="C34" s="161">
        <v>49</v>
      </c>
      <c r="F34" s="396"/>
      <c r="G34" s="390" t="s">
        <v>291</v>
      </c>
      <c r="H34" s="391">
        <v>2</v>
      </c>
      <c r="O34" s="39"/>
      <c r="P34" s="36"/>
    </row>
    <row r="35" spans="1:16" ht="18.75" hidden="1" customHeight="1" x14ac:dyDescent="0.15">
      <c r="A35" s="43"/>
      <c r="B35" s="43" t="s">
        <v>296</v>
      </c>
      <c r="C35" s="161">
        <v>50</v>
      </c>
      <c r="F35" s="397"/>
      <c r="G35" s="392" t="s">
        <v>296</v>
      </c>
      <c r="H35" s="393">
        <v>3</v>
      </c>
      <c r="O35" s="39"/>
      <c r="P35" s="36"/>
    </row>
    <row r="36" spans="1:16" ht="18.75" hidden="1" customHeight="1" x14ac:dyDescent="0.15">
      <c r="A36" s="43"/>
      <c r="B36" s="43" t="s">
        <v>292</v>
      </c>
      <c r="C36" s="161">
        <v>281</v>
      </c>
      <c r="F36" s="396"/>
      <c r="G36" s="390" t="s">
        <v>292</v>
      </c>
      <c r="H36" s="391">
        <v>5</v>
      </c>
      <c r="O36" s="39"/>
      <c r="P36" s="36"/>
    </row>
    <row r="37" spans="1:16" ht="18.75" hidden="1" customHeight="1" x14ac:dyDescent="0.15">
      <c r="A37" s="43"/>
      <c r="B37" s="43" t="s">
        <v>293</v>
      </c>
      <c r="C37" s="161">
        <v>124</v>
      </c>
      <c r="F37" s="397"/>
      <c r="G37" s="392" t="s">
        <v>293</v>
      </c>
      <c r="H37" s="393">
        <v>4</v>
      </c>
    </row>
    <row r="38" spans="1:16" ht="18.75" hidden="1" customHeight="1" x14ac:dyDescent="0.15">
      <c r="A38" s="55"/>
      <c r="B38" s="87" t="s">
        <v>297</v>
      </c>
      <c r="C38" s="161">
        <v>40</v>
      </c>
      <c r="F38" s="396"/>
      <c r="G38" s="390" t="s">
        <v>18</v>
      </c>
      <c r="H38" s="391">
        <v>2</v>
      </c>
    </row>
    <row r="39" spans="1:16" ht="18.75" hidden="1" customHeight="1" x14ac:dyDescent="0.15">
      <c r="A39" s="43"/>
      <c r="B39" s="43" t="s">
        <v>18</v>
      </c>
      <c r="C39" s="161">
        <v>111</v>
      </c>
      <c r="F39" s="397"/>
      <c r="G39" s="394"/>
      <c r="H39" s="393"/>
    </row>
    <row r="40" spans="1:16" ht="18.75" hidden="1" customHeight="1" x14ac:dyDescent="0.15">
      <c r="A40" s="43"/>
      <c r="B40" s="43" t="s">
        <v>294</v>
      </c>
      <c r="C40" s="161">
        <v>58</v>
      </c>
      <c r="F40" s="396"/>
      <c r="G40" s="389"/>
      <c r="H40" s="388"/>
    </row>
    <row r="41" spans="1:16" ht="18.75" hidden="1" customHeight="1" x14ac:dyDescent="0.15">
      <c r="B41" s="43"/>
      <c r="C41" s="161"/>
    </row>
    <row r="42" spans="1:16" ht="18.75" hidden="1" customHeight="1" thickBot="1" x14ac:dyDescent="0.2">
      <c r="B42" s="43"/>
      <c r="C42" s="161"/>
      <c r="G42" s="395" t="s">
        <v>283</v>
      </c>
      <c r="H42" s="494" t="s">
        <v>29</v>
      </c>
    </row>
    <row r="43" spans="1:16" ht="18.75" hidden="1" customHeight="1" thickTop="1" thickBot="1" x14ac:dyDescent="0.2">
      <c r="G43" s="419" t="s">
        <v>370</v>
      </c>
      <c r="H43" s="35" t="s">
        <v>583</v>
      </c>
    </row>
    <row r="44" spans="1:16" ht="18.75" hidden="1" customHeight="1" thickTop="1" x14ac:dyDescent="0.15">
      <c r="G44" s="43" t="s">
        <v>295</v>
      </c>
      <c r="H44" s="161">
        <v>100</v>
      </c>
    </row>
    <row r="45" spans="1:16" ht="18.75" hidden="1" customHeight="1" x14ac:dyDescent="0.15">
      <c r="G45" s="43" t="s">
        <v>284</v>
      </c>
      <c r="H45" s="462">
        <v>19</v>
      </c>
    </row>
    <row r="46" spans="1:16" ht="18.75" hidden="1" customHeight="1" x14ac:dyDescent="0.15">
      <c r="G46" s="43" t="s">
        <v>285</v>
      </c>
      <c r="H46" s="462">
        <v>123</v>
      </c>
    </row>
    <row r="47" spans="1:16" ht="18.75" hidden="1" customHeight="1" x14ac:dyDescent="0.15">
      <c r="G47" s="43" t="s">
        <v>286</v>
      </c>
      <c r="H47" s="462">
        <v>194</v>
      </c>
    </row>
    <row r="48" spans="1:16" ht="18.75" hidden="1" customHeight="1" x14ac:dyDescent="0.15">
      <c r="G48" s="43" t="s">
        <v>200</v>
      </c>
      <c r="H48" s="462">
        <v>7</v>
      </c>
    </row>
    <row r="49" spans="1:8" ht="18.75" hidden="1" customHeight="1" x14ac:dyDescent="0.15">
      <c r="G49" s="43" t="s">
        <v>201</v>
      </c>
      <c r="H49" s="462">
        <v>8</v>
      </c>
    </row>
    <row r="50" spans="1:8" ht="18.75" hidden="1" customHeight="1" x14ac:dyDescent="0.15">
      <c r="G50" s="43" t="s">
        <v>287</v>
      </c>
      <c r="H50" s="462">
        <v>587</v>
      </c>
    </row>
    <row r="51" spans="1:8" ht="18.75" hidden="1" customHeight="1" x14ac:dyDescent="0.15">
      <c r="G51" s="43" t="s">
        <v>288</v>
      </c>
      <c r="H51" s="462">
        <v>119</v>
      </c>
    </row>
    <row r="52" spans="1:8" ht="18.75" hidden="1" customHeight="1" x14ac:dyDescent="0.15">
      <c r="G52" s="43" t="s">
        <v>289</v>
      </c>
      <c r="H52" s="462">
        <v>135</v>
      </c>
    </row>
    <row r="53" spans="1:8" ht="18.75" hidden="1" customHeight="1" x14ac:dyDescent="0.15">
      <c r="G53" s="43" t="s">
        <v>290</v>
      </c>
      <c r="H53" s="462">
        <v>49</v>
      </c>
    </row>
    <row r="54" spans="1:8" ht="18.75" hidden="1" customHeight="1" x14ac:dyDescent="0.15">
      <c r="G54" s="43" t="s">
        <v>291</v>
      </c>
      <c r="H54" s="462">
        <v>10</v>
      </c>
    </row>
    <row r="55" spans="1:8" ht="18.75" hidden="1" customHeight="1" x14ac:dyDescent="0.15">
      <c r="A55" s="43"/>
      <c r="B55" s="43"/>
      <c r="G55" s="43" t="s">
        <v>296</v>
      </c>
      <c r="H55" s="462">
        <v>13</v>
      </c>
    </row>
    <row r="56" spans="1:8" ht="18.75" hidden="1" customHeight="1" x14ac:dyDescent="0.15">
      <c r="G56" s="43" t="s">
        <v>292</v>
      </c>
      <c r="H56" s="462">
        <v>19</v>
      </c>
    </row>
    <row r="57" spans="1:8" ht="18.75" hidden="1" customHeight="1" x14ac:dyDescent="0.15">
      <c r="G57" s="43" t="s">
        <v>293</v>
      </c>
      <c r="H57" s="462">
        <v>15</v>
      </c>
    </row>
    <row r="58" spans="1:8" ht="18.75" hidden="1" customHeight="1" x14ac:dyDescent="0.15">
      <c r="G58" s="43" t="s">
        <v>297</v>
      </c>
      <c r="H58" s="462">
        <v>7</v>
      </c>
    </row>
    <row r="59" spans="1:8" ht="18.75" hidden="1" customHeight="1" x14ac:dyDescent="0.15">
      <c r="G59" s="43" t="s">
        <v>18</v>
      </c>
      <c r="H59" s="462">
        <v>15</v>
      </c>
    </row>
    <row r="60" spans="1:8" ht="18.75" hidden="1" customHeight="1" x14ac:dyDescent="0.15">
      <c r="G60" s="43" t="s">
        <v>294</v>
      </c>
      <c r="H60" s="462">
        <v>7</v>
      </c>
    </row>
    <row r="61" spans="1:8" ht="18.75" hidden="1" customHeight="1" x14ac:dyDescent="0.15">
      <c r="G61" s="597"/>
      <c r="H61" s="462"/>
    </row>
    <row r="62" spans="1:8" ht="18.75" hidden="1" customHeight="1" x14ac:dyDescent="0.15"/>
    <row r="63" spans="1:8" ht="18.75" hidden="1" customHeight="1" x14ac:dyDescent="0.15"/>
    <row r="64" spans="1:8" ht="18.75" hidden="1" customHeight="1" x14ac:dyDescent="0.15"/>
  </sheetData>
  <mergeCells count="24">
    <mergeCell ref="A13:B13"/>
    <mergeCell ref="A14:B14"/>
    <mergeCell ref="F5:G5"/>
    <mergeCell ref="F9:G9"/>
    <mergeCell ref="F10:G10"/>
    <mergeCell ref="A5:B5"/>
    <mergeCell ref="A9:B9"/>
    <mergeCell ref="A10:B10"/>
    <mergeCell ref="A15:B15"/>
    <mergeCell ref="A16:B16"/>
    <mergeCell ref="A11:B11"/>
    <mergeCell ref="A12:B12"/>
    <mergeCell ref="F19:G19"/>
    <mergeCell ref="A18:B18"/>
    <mergeCell ref="A19:B19"/>
    <mergeCell ref="F11:G11"/>
    <mergeCell ref="F12:G12"/>
    <mergeCell ref="F16:G16"/>
    <mergeCell ref="F17:G17"/>
    <mergeCell ref="F18:G18"/>
    <mergeCell ref="F13:G13"/>
    <mergeCell ref="F14:G14"/>
    <mergeCell ref="F15:G15"/>
    <mergeCell ref="A17:B17"/>
  </mergeCells>
  <phoneticPr fontId="2"/>
  <pageMargins left="0.70866141732283472" right="0.70866141732283472" top="0.74803149606299213" bottom="0.74803149606299213" header="0.31496062992125984" footer="0.31496062992125984"/>
  <pageSetup paperSize="9" scale="7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0]!データ削除3">
                <anchor moveWithCells="1" sizeWithCells="1">
                  <from>
                    <xdr:col>9</xdr:col>
                    <xdr:colOff>133350</xdr:colOff>
                    <xdr:row>22</xdr:row>
                    <xdr:rowOff>28575</xdr:rowOff>
                  </from>
                  <to>
                    <xdr:col>11</xdr:col>
                    <xdr:colOff>85725</xdr:colOff>
                    <xdr:row>24</xdr:row>
                    <xdr:rowOff>76200</xdr:rowOff>
                  </to>
                </anchor>
              </controlPr>
            </control>
          </mc:Choice>
        </mc:AlternateContent>
      </controls>
    </mc:Choice>
  </mc:AlternateContent>
  <tableParts count="3">
    <tablePart r:id="rId5"/>
    <tablePart r:id="rId6"/>
    <tablePart r:id="rId7"/>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tint="-0.249977111117893"/>
  </sheetPr>
  <dimension ref="M4:R51"/>
  <sheetViews>
    <sheetView view="pageLayout" zoomScale="110" zoomScaleNormal="100" zoomScaleSheetLayoutView="100" zoomScalePageLayoutView="110" workbookViewId="0">
      <selection activeCell="K1" sqref="K1"/>
    </sheetView>
  </sheetViews>
  <sheetFormatPr defaultRowHeight="13.5" customHeight="1" x14ac:dyDescent="0.15"/>
  <cols>
    <col min="10" max="10" width="6.5" customWidth="1"/>
    <col min="11" max="11" width="7.25" customWidth="1"/>
    <col min="13" max="13" width="18.25" customWidth="1"/>
    <col min="14" max="14" width="9.5" customWidth="1"/>
    <col min="15" max="17" width="9.125" customWidth="1"/>
    <col min="18" max="18" width="9" customWidth="1"/>
  </cols>
  <sheetData>
    <row r="4" spans="13:18" ht="13.5" customHeight="1" x14ac:dyDescent="0.15">
      <c r="M4" s="453"/>
      <c r="N4" s="453" t="s">
        <v>349</v>
      </c>
      <c r="O4" s="453" t="s">
        <v>114</v>
      </c>
      <c r="P4" s="453" t="s">
        <v>116</v>
      </c>
      <c r="Q4" s="453" t="s">
        <v>12</v>
      </c>
      <c r="R4" s="454"/>
    </row>
    <row r="5" spans="13:18" ht="13.5" customHeight="1" x14ac:dyDescent="0.15">
      <c r="M5" s="455" t="s">
        <v>2</v>
      </c>
      <c r="N5" s="569">
        <f>IFERROR(VLOOKUP($M5,年齢区分[#All],2,FALSE),0)</f>
        <v>152</v>
      </c>
      <c r="O5" s="569">
        <f>IFERROR(VLOOKUP($M5,年齢区分＿寛解[#All],2,FALSE),0)</f>
        <v>9</v>
      </c>
      <c r="P5" s="569">
        <f>IFERROR(VLOOKUP($M5,年齢区分＿院内寛解[#All],2,FALSE),0)</f>
        <v>32</v>
      </c>
      <c r="Q5" s="570">
        <f>SUM(O5:P5)</f>
        <v>41</v>
      </c>
      <c r="R5" s="454"/>
    </row>
    <row r="6" spans="13:18" ht="13.5" customHeight="1" x14ac:dyDescent="0.15">
      <c r="M6" s="455" t="s">
        <v>3</v>
      </c>
      <c r="N6" s="569">
        <f>IFERROR(VLOOKUP($M6,年齢区分[#All],2,FALSE),0)</f>
        <v>277</v>
      </c>
      <c r="O6" s="569">
        <f>IFERROR(VLOOKUP($M6,年齢区分＿寛解[#All],2,FALSE),0)</f>
        <v>19</v>
      </c>
      <c r="P6" s="569">
        <f>IFERROR(VLOOKUP($M6,年齢区分＿院内寛解[#All],2,FALSE),0)</f>
        <v>53</v>
      </c>
      <c r="Q6" s="570">
        <f t="shared" ref="Q6:Q13" si="0">SUM(O6:P6)</f>
        <v>72</v>
      </c>
      <c r="R6" s="454"/>
    </row>
    <row r="7" spans="13:18" ht="13.5" customHeight="1" x14ac:dyDescent="0.15">
      <c r="M7" s="455" t="s">
        <v>4</v>
      </c>
      <c r="N7" s="569">
        <f>IFERROR(VLOOKUP($M7,年齢区分[#All],2,FALSE),0)</f>
        <v>593</v>
      </c>
      <c r="O7" s="569">
        <f>IFERROR(VLOOKUP($M7,年齢区分＿寛解[#All],2,FALSE),0)</f>
        <v>25</v>
      </c>
      <c r="P7" s="569">
        <f>IFERROR(VLOOKUP($M7,年齢区分＿院内寛解[#All],2,FALSE),0)</f>
        <v>68</v>
      </c>
      <c r="Q7" s="570">
        <f t="shared" si="0"/>
        <v>93</v>
      </c>
      <c r="R7" s="454"/>
    </row>
    <row r="8" spans="13:18" ht="13.5" customHeight="1" x14ac:dyDescent="0.15">
      <c r="M8" s="455" t="s">
        <v>5</v>
      </c>
      <c r="N8" s="569">
        <f>IFERROR(VLOOKUP($M8,年齢区分[#All],2,FALSE),0)</f>
        <v>1404</v>
      </c>
      <c r="O8" s="569">
        <f>IFERROR(VLOOKUP($M8,年齢区分＿寛解[#All],2,FALSE),0)</f>
        <v>54</v>
      </c>
      <c r="P8" s="569">
        <f>IFERROR(VLOOKUP($M8,年齢区分＿院内寛解[#All],2,FALSE),0)</f>
        <v>183</v>
      </c>
      <c r="Q8" s="570">
        <f t="shared" si="0"/>
        <v>237</v>
      </c>
      <c r="R8" s="454"/>
    </row>
    <row r="9" spans="13:18" ht="13.5" customHeight="1" x14ac:dyDescent="0.15">
      <c r="M9" s="455" t="s">
        <v>6</v>
      </c>
      <c r="N9" s="569">
        <f>IFERROR(VLOOKUP($M9,年齢区分[#All],2,FALSE),0)</f>
        <v>2424</v>
      </c>
      <c r="O9" s="569">
        <f>IFERROR(VLOOKUP($M9,年齢区分＿寛解[#All],2,FALSE),0)</f>
        <v>54</v>
      </c>
      <c r="P9" s="569">
        <f>IFERROR(VLOOKUP($M9,年齢区分＿院内寛解[#All],2,FALSE),0)</f>
        <v>271</v>
      </c>
      <c r="Q9" s="570">
        <f t="shared" si="0"/>
        <v>325</v>
      </c>
      <c r="R9" s="454"/>
    </row>
    <row r="10" spans="13:18" ht="13.5" customHeight="1" x14ac:dyDescent="0.15">
      <c r="M10" s="455" t="s">
        <v>7</v>
      </c>
      <c r="N10" s="569">
        <f>IFERROR(VLOOKUP($M10,年齢区分[#All],2,FALSE),0)</f>
        <v>2616</v>
      </c>
      <c r="O10" s="569">
        <f>IFERROR(VLOOKUP($M10,年齢区分＿寛解[#All],2,FALSE),0)</f>
        <v>54</v>
      </c>
      <c r="P10" s="569">
        <f>IFERROR(VLOOKUP($M10,年齢区分＿院内寛解[#All],2,FALSE),0)</f>
        <v>246</v>
      </c>
      <c r="Q10" s="570">
        <f t="shared" si="0"/>
        <v>300</v>
      </c>
      <c r="R10" s="454"/>
    </row>
    <row r="11" spans="13:18" ht="13.5" customHeight="1" x14ac:dyDescent="0.15">
      <c r="M11" s="455" t="s">
        <v>8</v>
      </c>
      <c r="N11" s="569">
        <f>IFERROR(VLOOKUP($M11,年齢区分[#All],2,FALSE),0)</f>
        <v>3931</v>
      </c>
      <c r="O11" s="569">
        <f>IFERROR(VLOOKUP($M11,年齢区分＿寛解[#All],2,FALSE),0)</f>
        <v>77</v>
      </c>
      <c r="P11" s="569">
        <f>IFERROR(VLOOKUP($M11,年齢区分＿院内寛解[#All],2,FALSE),0)</f>
        <v>330</v>
      </c>
      <c r="Q11" s="570">
        <f t="shared" si="0"/>
        <v>407</v>
      </c>
      <c r="R11" s="454"/>
    </row>
    <row r="12" spans="13:18" ht="13.5" customHeight="1" x14ac:dyDescent="0.15">
      <c r="M12" s="455" t="s">
        <v>9</v>
      </c>
      <c r="N12" s="569">
        <f>IFERROR(VLOOKUP($M12,年齢区分[#All],2,FALSE),0)</f>
        <v>3148</v>
      </c>
      <c r="O12" s="569">
        <f>IFERROR(VLOOKUP($M12,年齢区分＿寛解[#All],2,FALSE),0)</f>
        <v>42</v>
      </c>
      <c r="P12" s="569">
        <f>IFERROR(VLOOKUP($M12,年齢区分＿院内寛解[#All],2,FALSE),0)</f>
        <v>206</v>
      </c>
      <c r="Q12" s="570">
        <f t="shared" si="0"/>
        <v>248</v>
      </c>
      <c r="R12" s="454"/>
    </row>
    <row r="13" spans="13:18" ht="13.5" customHeight="1" x14ac:dyDescent="0.15">
      <c r="M13" s="455" t="s">
        <v>10</v>
      </c>
      <c r="N13" s="569">
        <f>IFERROR(VLOOKUP($M13,年齢区分[#All],2,FALSE),0)</f>
        <v>708</v>
      </c>
      <c r="O13" s="569">
        <f>IFERROR(VLOOKUP($M13,年齢区分＿寛解[#All],2,FALSE),0)</f>
        <v>5</v>
      </c>
      <c r="P13" s="569">
        <f>IFERROR(VLOOKUP($M13,年齢区分＿院内寛解[#All],2,FALSE),0)</f>
        <v>38</v>
      </c>
      <c r="Q13" s="570">
        <f t="shared" si="0"/>
        <v>43</v>
      </c>
      <c r="R13" s="454"/>
    </row>
    <row r="14" spans="13:18" ht="13.5" customHeight="1" x14ac:dyDescent="0.15">
      <c r="M14" s="454"/>
      <c r="N14" s="454"/>
      <c r="O14" s="454"/>
      <c r="P14" s="454"/>
      <c r="Q14" s="454"/>
      <c r="R14" s="454"/>
    </row>
    <row r="15" spans="13:18" ht="13.5" customHeight="1" x14ac:dyDescent="0.15">
      <c r="M15" s="454"/>
      <c r="N15" s="454"/>
      <c r="O15" s="454"/>
      <c r="P15" s="454"/>
      <c r="Q15" s="454"/>
      <c r="R15" s="454"/>
    </row>
    <row r="16" spans="13:18" ht="13.5" customHeight="1" x14ac:dyDescent="0.15">
      <c r="M16" s="454"/>
      <c r="N16" s="454"/>
      <c r="O16" s="454"/>
      <c r="P16" s="454"/>
      <c r="Q16" s="454"/>
      <c r="R16" s="454"/>
    </row>
    <row r="17" spans="13:18" ht="13.5" customHeight="1" x14ac:dyDescent="0.15">
      <c r="M17" s="454"/>
      <c r="N17" s="454"/>
      <c r="O17" s="454"/>
      <c r="P17" s="454"/>
      <c r="Q17" s="454"/>
      <c r="R17" s="454"/>
    </row>
    <row r="18" spans="13:18" ht="13.5" customHeight="1" x14ac:dyDescent="0.15">
      <c r="M18" s="454"/>
      <c r="N18" s="454"/>
      <c r="O18" s="454"/>
      <c r="P18" s="454"/>
      <c r="Q18" s="454"/>
      <c r="R18" s="454"/>
    </row>
    <row r="19" spans="13:18" ht="13.5" customHeight="1" x14ac:dyDescent="0.15">
      <c r="M19" s="454"/>
      <c r="N19" s="454"/>
      <c r="O19" s="454"/>
      <c r="P19" s="454"/>
      <c r="Q19" s="454"/>
      <c r="R19" s="454"/>
    </row>
    <row r="20" spans="13:18" ht="13.5" customHeight="1" x14ac:dyDescent="0.15">
      <c r="M20" s="454"/>
      <c r="N20" s="454"/>
      <c r="O20" s="454"/>
      <c r="P20" s="454"/>
      <c r="Q20" s="454"/>
      <c r="R20" s="454"/>
    </row>
    <row r="21" spans="13:18" ht="13.5" customHeight="1" x14ac:dyDescent="0.15">
      <c r="M21" s="454"/>
      <c r="N21" s="454"/>
      <c r="O21" s="454"/>
      <c r="P21" s="454"/>
      <c r="Q21" s="454"/>
      <c r="R21" s="454"/>
    </row>
    <row r="22" spans="13:18" ht="13.5" customHeight="1" x14ac:dyDescent="0.15">
      <c r="M22" s="454"/>
      <c r="N22" s="454"/>
      <c r="O22" s="454"/>
      <c r="P22" s="454"/>
      <c r="Q22" s="454"/>
      <c r="R22" s="454"/>
    </row>
    <row r="23" spans="13:18" ht="13.5" customHeight="1" x14ac:dyDescent="0.15">
      <c r="M23" s="454"/>
      <c r="N23" s="454"/>
      <c r="O23" s="454"/>
      <c r="P23" s="454"/>
      <c r="Q23" s="454"/>
      <c r="R23" s="454"/>
    </row>
    <row r="24" spans="13:18" ht="13.5" customHeight="1" x14ac:dyDescent="0.15">
      <c r="M24" s="456"/>
      <c r="N24" s="457" t="s">
        <v>349</v>
      </c>
      <c r="O24" s="457" t="s">
        <v>114</v>
      </c>
      <c r="P24" s="457" t="s">
        <v>116</v>
      </c>
      <c r="Q24" s="457" t="s">
        <v>351</v>
      </c>
      <c r="R24" s="454"/>
    </row>
    <row r="25" spans="13:18" ht="13.5" customHeight="1" x14ac:dyDescent="0.15">
      <c r="M25" s="455" t="s">
        <v>2</v>
      </c>
      <c r="N25" s="571">
        <f>IFERROR(VLOOKUP($M25,年齢区分＿1年以上[#All],2,FALSE),0)</f>
        <v>3</v>
      </c>
      <c r="O25" s="571">
        <f>IFERROR(VLOOKUP($M25,年齢区分＿1年以上＿寛解[#All],2,FALSE),0)</f>
        <v>0</v>
      </c>
      <c r="P25" s="571">
        <f>IFERROR(VLOOKUP($M25,年齢区分＿1年以上＿院内寛解[#All],2,FALSE),0)</f>
        <v>0</v>
      </c>
      <c r="Q25" s="570">
        <f>SUM(O25:P25)</f>
        <v>0</v>
      </c>
      <c r="R25" s="454"/>
    </row>
    <row r="26" spans="13:18" ht="13.5" customHeight="1" x14ac:dyDescent="0.15">
      <c r="M26" s="455" t="s">
        <v>3</v>
      </c>
      <c r="N26" s="571">
        <f>IFERROR(VLOOKUP($M26,年齢区分＿1年以上[#All],2,FALSE),0)</f>
        <v>63</v>
      </c>
      <c r="O26" s="571">
        <f>IFERROR(VLOOKUP($M26,年齢区分＿1年以上＿寛解[#All],2,FALSE),0)</f>
        <v>0</v>
      </c>
      <c r="P26" s="571">
        <f>IFERROR(VLOOKUP($M26,年齢区分＿1年以上＿院内寛解[#All],2,FALSE),0)</f>
        <v>2</v>
      </c>
      <c r="Q26" s="570">
        <f t="shared" ref="Q26:Q33" si="1">SUM(O26:P26)</f>
        <v>2</v>
      </c>
      <c r="R26" s="454"/>
    </row>
    <row r="27" spans="13:18" ht="13.5" customHeight="1" x14ac:dyDescent="0.15">
      <c r="M27" s="455" t="s">
        <v>4</v>
      </c>
      <c r="N27" s="571">
        <f>IFERROR(VLOOKUP($M27,年齢区分＿1年以上[#All],2,FALSE),0)</f>
        <v>248</v>
      </c>
      <c r="O27" s="571">
        <f>IFERROR(VLOOKUP($M27,年齢区分＿1年以上＿寛解[#All],2,FALSE),0)</f>
        <v>2</v>
      </c>
      <c r="P27" s="571">
        <f>IFERROR(VLOOKUP($M27,年齢区分＿1年以上＿院内寛解[#All],2,FALSE),0)</f>
        <v>8</v>
      </c>
      <c r="Q27" s="570">
        <f t="shared" si="1"/>
        <v>10</v>
      </c>
      <c r="R27" s="454"/>
    </row>
    <row r="28" spans="13:18" ht="13.5" customHeight="1" x14ac:dyDescent="0.15">
      <c r="M28" s="455" t="s">
        <v>5</v>
      </c>
      <c r="N28" s="571">
        <f>IFERROR(VLOOKUP($M28,年齢区分＿1年以上[#All],2,FALSE),0)</f>
        <v>775</v>
      </c>
      <c r="O28" s="571">
        <f>IFERROR(VLOOKUP($M28,年齢区分＿1年以上＿寛解[#All],2,FALSE),0)</f>
        <v>7</v>
      </c>
      <c r="P28" s="571">
        <f>IFERROR(VLOOKUP($M28,年齢区分＿1年以上＿院内寛解[#All],2,FALSE),0)</f>
        <v>50</v>
      </c>
      <c r="Q28" s="570">
        <f t="shared" si="1"/>
        <v>57</v>
      </c>
      <c r="R28" s="454"/>
    </row>
    <row r="29" spans="13:18" ht="13.5" customHeight="1" x14ac:dyDescent="0.15">
      <c r="M29" s="455" t="s">
        <v>6</v>
      </c>
      <c r="N29" s="571">
        <f>IFERROR(VLOOKUP($M29,年齢区分＿1年以上[#All],2,FALSE),0)</f>
        <v>1517</v>
      </c>
      <c r="O29" s="571">
        <f>IFERROR(VLOOKUP($M29,年齢区分＿1年以上＿寛解[#All],2,FALSE),0)</f>
        <v>2</v>
      </c>
      <c r="P29" s="571">
        <f>IFERROR(VLOOKUP($M29,年齢区分＿1年以上＿院内寛解[#All],2,FALSE),0)</f>
        <v>86</v>
      </c>
      <c r="Q29" s="570">
        <f t="shared" si="1"/>
        <v>88</v>
      </c>
      <c r="R29" s="454"/>
    </row>
    <row r="30" spans="13:18" ht="13.5" customHeight="1" x14ac:dyDescent="0.15">
      <c r="M30" s="455" t="s">
        <v>7</v>
      </c>
      <c r="N30" s="571">
        <f>IFERROR(VLOOKUP($M30,年齢区分＿1年以上[#All],2,FALSE),0)</f>
        <v>1718</v>
      </c>
      <c r="O30" s="571">
        <f>IFERROR(VLOOKUP($M30,年齢区分＿1年以上＿寛解[#All],2,FALSE),0)</f>
        <v>11</v>
      </c>
      <c r="P30" s="571">
        <f>IFERROR(VLOOKUP($M30,年齢区分＿1年以上＿院内寛解[#All],2,FALSE),0)</f>
        <v>107</v>
      </c>
      <c r="Q30" s="570">
        <f t="shared" si="1"/>
        <v>118</v>
      </c>
      <c r="R30" s="454"/>
    </row>
    <row r="31" spans="13:18" ht="13.5" customHeight="1" x14ac:dyDescent="0.15">
      <c r="M31" s="455" t="s">
        <v>8</v>
      </c>
      <c r="N31" s="571">
        <f>IFERROR(VLOOKUP($M31,年齢区分＿1年以上[#All],2,FALSE),0)</f>
        <v>2479</v>
      </c>
      <c r="O31" s="571">
        <f>IFERROR(VLOOKUP($M31,年齢区分＿1年以上＿寛解[#All],2,FALSE),0)</f>
        <v>19</v>
      </c>
      <c r="P31" s="571">
        <f>IFERROR(VLOOKUP($M31,年齢区分＿1年以上＿院内寛解[#All],2,FALSE),0)</f>
        <v>150</v>
      </c>
      <c r="Q31" s="570">
        <f t="shared" si="1"/>
        <v>169</v>
      </c>
      <c r="R31" s="454"/>
    </row>
    <row r="32" spans="13:18" ht="13.5" customHeight="1" x14ac:dyDescent="0.15">
      <c r="M32" s="455" t="s">
        <v>9</v>
      </c>
      <c r="N32" s="571">
        <f>IFERROR(VLOOKUP($M32,年齢区分＿1年以上[#All],2,FALSE),0)</f>
        <v>1819</v>
      </c>
      <c r="O32" s="571">
        <f>IFERROR(VLOOKUP($M32,年齢区分＿1年以上＿寛解[#All],2,FALSE),0)</f>
        <v>9</v>
      </c>
      <c r="P32" s="571">
        <f>IFERROR(VLOOKUP($M32,年齢区分＿1年以上＿院内寛解[#All],2,FALSE),0)</f>
        <v>82</v>
      </c>
      <c r="Q32" s="570">
        <f t="shared" si="1"/>
        <v>91</v>
      </c>
      <c r="R32" s="454"/>
    </row>
    <row r="33" spans="13:18" ht="13.5" customHeight="1" x14ac:dyDescent="0.15">
      <c r="M33" s="455" t="s">
        <v>10</v>
      </c>
      <c r="N33" s="571">
        <f>IFERROR(VLOOKUP($M33,年齢区分＿1年以上[#All],2,FALSE),0)</f>
        <v>440</v>
      </c>
      <c r="O33" s="571">
        <f>IFERROR(VLOOKUP($M33,年齢区分＿1年以上＿寛解[#All],2,FALSE),0)</f>
        <v>2</v>
      </c>
      <c r="P33" s="571">
        <f>IFERROR(VLOOKUP($M33,年齢区分＿1年以上＿院内寛解[#All],2,FALSE),0)</f>
        <v>16</v>
      </c>
      <c r="Q33" s="570">
        <f t="shared" si="1"/>
        <v>18</v>
      </c>
      <c r="R33" s="454"/>
    </row>
    <row r="34" spans="13:18" ht="13.5" customHeight="1" x14ac:dyDescent="0.15">
      <c r="M34" s="454"/>
      <c r="N34" s="454"/>
      <c r="O34" s="454"/>
      <c r="P34" s="454"/>
      <c r="Q34" s="454"/>
      <c r="R34" s="454"/>
    </row>
    <row r="35" spans="13:18" ht="13.5" customHeight="1" x14ac:dyDescent="0.15">
      <c r="M35" s="454"/>
      <c r="N35" s="454"/>
      <c r="O35" s="454"/>
      <c r="P35" s="454"/>
      <c r="Q35" s="454"/>
      <c r="R35" s="454"/>
    </row>
    <row r="36" spans="13:18" ht="13.5" customHeight="1" x14ac:dyDescent="0.15">
      <c r="M36" s="454"/>
      <c r="N36" s="454"/>
      <c r="O36" s="454"/>
      <c r="P36" s="454"/>
      <c r="Q36" s="454"/>
      <c r="R36" s="454"/>
    </row>
    <row r="37" spans="13:18" ht="13.5" customHeight="1" x14ac:dyDescent="0.15">
      <c r="M37" s="454"/>
      <c r="N37" s="454"/>
      <c r="O37" s="454"/>
      <c r="P37" s="454"/>
      <c r="Q37" s="454"/>
      <c r="R37" s="454"/>
    </row>
    <row r="38" spans="13:18" ht="13.5" customHeight="1" x14ac:dyDescent="0.15">
      <c r="M38" s="454"/>
      <c r="N38" s="454"/>
      <c r="O38" s="454"/>
      <c r="P38" s="454"/>
      <c r="Q38" s="454"/>
      <c r="R38" s="454"/>
    </row>
    <row r="39" spans="13:18" ht="13.5" customHeight="1" x14ac:dyDescent="0.15">
      <c r="M39" s="454"/>
      <c r="N39" s="454"/>
      <c r="O39" s="454"/>
      <c r="P39" s="454"/>
      <c r="Q39" s="454"/>
      <c r="R39" s="454"/>
    </row>
    <row r="40" spans="13:18" ht="13.5" customHeight="1" x14ac:dyDescent="0.15">
      <c r="M40" s="454"/>
      <c r="N40" s="454"/>
      <c r="O40" s="454"/>
      <c r="P40" s="454"/>
      <c r="Q40" s="454"/>
      <c r="R40" s="454"/>
    </row>
    <row r="41" spans="13:18" ht="13.5" customHeight="1" x14ac:dyDescent="0.15">
      <c r="M41" s="454"/>
      <c r="N41" s="454"/>
      <c r="O41" s="454"/>
      <c r="P41" s="454"/>
      <c r="Q41" s="454"/>
      <c r="R41" s="454"/>
    </row>
    <row r="42" spans="13:18" ht="13.5" customHeight="1" x14ac:dyDescent="0.15">
      <c r="M42" s="454"/>
      <c r="N42" s="454"/>
      <c r="O42" s="454"/>
      <c r="P42" s="454"/>
      <c r="Q42" s="454"/>
      <c r="R42" s="454"/>
    </row>
    <row r="43" spans="13:18" ht="13.5" customHeight="1" x14ac:dyDescent="0.15">
      <c r="M43" s="454"/>
      <c r="N43" s="454"/>
      <c r="O43" s="454"/>
      <c r="P43" s="454"/>
      <c r="Q43" s="454"/>
      <c r="R43" s="454"/>
    </row>
    <row r="44" spans="13:18" ht="13.5" customHeight="1" x14ac:dyDescent="0.15">
      <c r="M44" s="454"/>
      <c r="N44" s="454"/>
      <c r="O44" s="454"/>
      <c r="P44" s="454"/>
      <c r="Q44" s="454"/>
      <c r="R44" s="454"/>
    </row>
    <row r="45" spans="13:18" ht="13.5" customHeight="1" x14ac:dyDescent="0.15">
      <c r="M45" s="459"/>
      <c r="N45" s="460" t="s">
        <v>349</v>
      </c>
      <c r="O45" s="460" t="s">
        <v>350</v>
      </c>
      <c r="P45" s="454"/>
      <c r="Q45" s="454"/>
      <c r="R45" s="454"/>
    </row>
    <row r="46" spans="13:18" ht="13.5" customHeight="1" x14ac:dyDescent="0.15">
      <c r="M46" s="461" t="s">
        <v>300</v>
      </c>
      <c r="N46" s="458">
        <f>IFERROR(VLOOKUP($M46,年齢区分＿65歳以上[#All],2,FALSE),0)</f>
        <v>1408</v>
      </c>
      <c r="O46" s="458">
        <f>IFERROR(VLOOKUP($M46,年齢区分＿65歳以上＿寛解・院内寛解[#All],2,FALSE),0)</f>
        <v>146</v>
      </c>
      <c r="P46" s="454"/>
      <c r="Q46" s="454"/>
      <c r="R46" s="454"/>
    </row>
    <row r="47" spans="13:18" ht="13.5" customHeight="1" x14ac:dyDescent="0.15">
      <c r="M47" s="461" t="s">
        <v>301</v>
      </c>
      <c r="N47" s="458">
        <f>IFERROR(VLOOKUP($M47,年齢区分＿65歳以上[#All],2,FALSE),0)</f>
        <v>2154</v>
      </c>
      <c r="O47" s="458">
        <f>IFERROR(VLOOKUP($M47,年齢区分＿65歳以上＿寛解・院内寛解[#All],2,FALSE),0)</f>
        <v>216</v>
      </c>
      <c r="P47" s="454"/>
      <c r="Q47" s="454"/>
      <c r="R47" s="454"/>
    </row>
    <row r="48" spans="13:18" ht="13.5" customHeight="1" x14ac:dyDescent="0.15">
      <c r="M48" s="461" t="s">
        <v>302</v>
      </c>
      <c r="N48" s="458">
        <f>IFERROR(VLOOKUP($M48,年齢区分＿65歳以上[#All],2,FALSE),0)</f>
        <v>1777</v>
      </c>
      <c r="O48" s="458">
        <f>IFERROR(VLOOKUP($M48,年齢区分＿65歳以上＿寛解・院内寛解[#All],2,FALSE),0)</f>
        <v>191</v>
      </c>
      <c r="P48" s="454"/>
      <c r="Q48" s="454"/>
      <c r="R48" s="454"/>
    </row>
    <row r="49" spans="13:18" ht="13.5" customHeight="1" x14ac:dyDescent="0.15">
      <c r="M49" s="461" t="s">
        <v>303</v>
      </c>
      <c r="N49" s="458">
        <f>IFERROR(VLOOKUP($M49,年齢区分＿65歳以上[#All],2,FALSE),0)</f>
        <v>1780</v>
      </c>
      <c r="O49" s="458">
        <f>IFERROR(VLOOKUP($M49,年齢区分＿65歳以上＿寛解・院内寛解[#All],2,FALSE),0)</f>
        <v>150</v>
      </c>
      <c r="P49" s="454"/>
      <c r="Q49" s="454"/>
      <c r="R49" s="454"/>
    </row>
    <row r="50" spans="13:18" ht="13.5" customHeight="1" x14ac:dyDescent="0.15">
      <c r="M50" s="461" t="s">
        <v>304</v>
      </c>
      <c r="N50" s="458">
        <f>IFERROR(VLOOKUP($M50,年齢区分＿65歳以上[#All],2,FALSE),0)</f>
        <v>1368</v>
      </c>
      <c r="O50" s="458">
        <f>IFERROR(VLOOKUP($M50,年齢区分＿65歳以上＿寛解・院内寛解[#All],2,FALSE),0)</f>
        <v>98</v>
      </c>
      <c r="P50" s="454"/>
      <c r="Q50" s="454"/>
      <c r="R50" s="454"/>
    </row>
    <row r="51" spans="13:18" ht="13.5" customHeight="1" x14ac:dyDescent="0.15">
      <c r="M51" s="461" t="s">
        <v>10</v>
      </c>
      <c r="N51" s="458">
        <f>IFERROR(VLOOKUP($M51,年齢区分＿65歳以上[#All],2,FALSE),0)</f>
        <v>708</v>
      </c>
      <c r="O51" s="458">
        <f>IFERROR(VLOOKUP($M51,年齢区分＿65歳以上＿寛解・院内寛解[#All],2,FALSE),0)</f>
        <v>43</v>
      </c>
      <c r="P51" s="454"/>
      <c r="Q51" s="454"/>
      <c r="R51" s="454"/>
    </row>
  </sheetData>
  <phoneticPr fontId="2"/>
  <pageMargins left="0.44270833333333331" right="0.41666666666666669" top="0.60606060606060608" bottom="0.51136363636363635" header="0.3" footer="0.3"/>
  <pageSetup paperSize="9" orientation="portrait" r:id="rId1"/>
  <headerFooter>
    <oddHeader>&amp;C&amp;"游ゴシック,太字"&amp;14R3年度　大阪府の在院患者の状況　&amp;R&amp;"游ゴシック,標準"&amp;10R3.6.30時点</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tint="-0.249977111117893"/>
  </sheetPr>
  <dimension ref="M4:AB57"/>
  <sheetViews>
    <sheetView view="pageBreakPreview" topLeftCell="A34" zoomScale="80" zoomScaleNormal="100" zoomScaleSheetLayoutView="80" workbookViewId="0">
      <selection activeCell="I1" sqref="I1"/>
    </sheetView>
  </sheetViews>
  <sheetFormatPr defaultRowHeight="13.5" customHeight="1" x14ac:dyDescent="0.15"/>
  <cols>
    <col min="10" max="10" width="6.5" customWidth="1"/>
    <col min="11" max="11" width="7.25" customWidth="1"/>
    <col min="13" max="13" width="4.125" customWidth="1"/>
    <col min="14" max="14" width="35.875" customWidth="1"/>
    <col min="15" max="15" width="9.5" bestFit="1" customWidth="1"/>
    <col min="16" max="18" width="9.125" bestFit="1" customWidth="1"/>
    <col min="20" max="22" width="9" customWidth="1"/>
  </cols>
  <sheetData>
    <row r="4" spans="13:28" ht="13.5" customHeight="1" x14ac:dyDescent="0.15">
      <c r="M4" s="572"/>
      <c r="N4" s="573"/>
      <c r="O4" s="453" t="s">
        <v>0</v>
      </c>
      <c r="P4" s="453" t="s">
        <v>114</v>
      </c>
      <c r="Q4" s="453" t="s">
        <v>116</v>
      </c>
      <c r="R4" s="453" t="s">
        <v>12</v>
      </c>
      <c r="S4" s="454"/>
      <c r="T4" s="454"/>
      <c r="U4" s="454"/>
      <c r="V4" s="454"/>
      <c r="W4" s="454"/>
      <c r="X4" s="454"/>
      <c r="Y4" s="454"/>
      <c r="Z4" s="454"/>
      <c r="AA4" s="454"/>
      <c r="AB4" s="454"/>
    </row>
    <row r="5" spans="13:28" ht="13.5" customHeight="1" x14ac:dyDescent="0.15">
      <c r="M5" s="780" t="s">
        <v>120</v>
      </c>
      <c r="N5" s="781"/>
      <c r="O5" s="570">
        <f>'２-Ⅲ'!C5</f>
        <v>4347</v>
      </c>
      <c r="P5" s="571">
        <f>'２-Ⅲ'!H5</f>
        <v>56</v>
      </c>
      <c r="Q5" s="570">
        <f>'２-Ⅲ'!I5</f>
        <v>242</v>
      </c>
      <c r="R5" s="570">
        <f t="shared" ref="R5:R16" si="0">SUM(P5:Q5)</f>
        <v>298</v>
      </c>
      <c r="S5" s="454"/>
      <c r="T5" s="574" t="s">
        <v>352</v>
      </c>
      <c r="U5" s="574" t="s">
        <v>295</v>
      </c>
      <c r="V5" s="454"/>
      <c r="W5" s="454"/>
      <c r="X5" s="454"/>
      <c r="Y5" s="454"/>
      <c r="Z5" s="454"/>
      <c r="AA5" s="454"/>
      <c r="AB5" s="454"/>
    </row>
    <row r="6" spans="13:28" ht="13.5" customHeight="1" x14ac:dyDescent="0.15">
      <c r="M6" s="772" t="s">
        <v>20</v>
      </c>
      <c r="N6" s="773"/>
      <c r="O6" s="571">
        <f>'２-Ⅲ'!C9</f>
        <v>830</v>
      </c>
      <c r="P6" s="571">
        <f>'２-Ⅲ'!H9</f>
        <v>41</v>
      </c>
      <c r="Q6" s="571">
        <f>'２-Ⅲ'!I9</f>
        <v>209</v>
      </c>
      <c r="R6" s="570">
        <f t="shared" si="0"/>
        <v>250</v>
      </c>
      <c r="S6" s="454"/>
      <c r="T6" s="574" t="s">
        <v>353</v>
      </c>
      <c r="U6" s="574" t="s">
        <v>284</v>
      </c>
      <c r="V6" s="454"/>
      <c r="W6" s="454"/>
      <c r="X6" s="454"/>
      <c r="Y6" s="454"/>
      <c r="Z6" s="454"/>
      <c r="AA6" s="454"/>
      <c r="AB6" s="454"/>
    </row>
    <row r="7" spans="13:28" ht="13.5" customHeight="1" x14ac:dyDescent="0.15">
      <c r="M7" s="772" t="s">
        <v>73</v>
      </c>
      <c r="N7" s="773"/>
      <c r="O7" s="571">
        <f>'２-Ⅲ'!C10</f>
        <v>7586</v>
      </c>
      <c r="P7" s="571">
        <f>'２-Ⅲ'!H10</f>
        <v>120</v>
      </c>
      <c r="Q7" s="571">
        <f>'２-Ⅲ'!I10</f>
        <v>587</v>
      </c>
      <c r="R7" s="570">
        <f t="shared" si="0"/>
        <v>707</v>
      </c>
      <c r="S7" s="454"/>
      <c r="T7" s="574" t="s">
        <v>315</v>
      </c>
      <c r="U7" s="574" t="s">
        <v>285</v>
      </c>
      <c r="V7" s="454"/>
      <c r="W7" s="454"/>
      <c r="X7" s="454"/>
      <c r="Y7" s="454"/>
      <c r="Z7" s="454"/>
      <c r="AA7" s="454"/>
      <c r="AB7" s="454"/>
    </row>
    <row r="8" spans="13:28" ht="13.5" customHeight="1" x14ac:dyDescent="0.15">
      <c r="M8" s="772" t="s">
        <v>22</v>
      </c>
      <c r="N8" s="773"/>
      <c r="O8" s="571">
        <f>'２-Ⅲ'!C11</f>
        <v>1529</v>
      </c>
      <c r="P8" s="571">
        <f>'２-Ⅲ'!H11</f>
        <v>77</v>
      </c>
      <c r="Q8" s="571">
        <f>'２-Ⅲ'!I11</f>
        <v>254</v>
      </c>
      <c r="R8" s="570">
        <f t="shared" si="0"/>
        <v>331</v>
      </c>
      <c r="S8" s="454"/>
      <c r="T8" s="574" t="s">
        <v>316</v>
      </c>
      <c r="U8" s="574" t="s">
        <v>286</v>
      </c>
      <c r="V8" s="454"/>
      <c r="W8" s="454"/>
      <c r="X8" s="454"/>
      <c r="Y8" s="454"/>
      <c r="Z8" s="454"/>
      <c r="AA8" s="454"/>
      <c r="AB8" s="454"/>
    </row>
    <row r="9" spans="13:28" ht="13.5" customHeight="1" x14ac:dyDescent="0.15">
      <c r="M9" s="772" t="s">
        <v>24</v>
      </c>
      <c r="N9" s="773"/>
      <c r="O9" s="571">
        <f>'２-Ⅲ'!C12</f>
        <v>248</v>
      </c>
      <c r="P9" s="571">
        <f>'２-Ⅲ'!H12</f>
        <v>29</v>
      </c>
      <c r="Q9" s="571">
        <f>'２-Ⅲ'!I12</f>
        <v>49</v>
      </c>
      <c r="R9" s="570">
        <f t="shared" si="0"/>
        <v>78</v>
      </c>
      <c r="S9" s="454"/>
      <c r="T9" s="574" t="s">
        <v>317</v>
      </c>
      <c r="U9" s="574" t="s">
        <v>312</v>
      </c>
      <c r="V9" s="454"/>
      <c r="W9" s="454"/>
      <c r="X9" s="454"/>
      <c r="Y9" s="454"/>
      <c r="Z9" s="454"/>
      <c r="AA9" s="454"/>
      <c r="AB9" s="454"/>
    </row>
    <row r="10" spans="13:28" ht="13.5" customHeight="1" x14ac:dyDescent="0.15">
      <c r="M10" s="772" t="s">
        <v>25</v>
      </c>
      <c r="N10" s="773"/>
      <c r="O10" s="571">
        <f>'２-Ⅲ'!C13</f>
        <v>49</v>
      </c>
      <c r="P10" s="571">
        <f>'２-Ⅲ'!H13</f>
        <v>2</v>
      </c>
      <c r="Q10" s="571">
        <f>'２-Ⅲ'!I13</f>
        <v>10</v>
      </c>
      <c r="R10" s="570">
        <f t="shared" si="0"/>
        <v>12</v>
      </c>
      <c r="S10" s="454"/>
      <c r="T10" s="574" t="s">
        <v>318</v>
      </c>
      <c r="U10" s="574" t="s">
        <v>313</v>
      </c>
      <c r="V10" s="454"/>
      <c r="W10" s="454"/>
      <c r="X10" s="454"/>
      <c r="Y10" s="454"/>
      <c r="Z10" s="454"/>
      <c r="AA10" s="454"/>
      <c r="AB10" s="454"/>
    </row>
    <row r="11" spans="13:28" ht="13.5" customHeight="1" x14ac:dyDescent="0.15">
      <c r="M11" s="772" t="s">
        <v>256</v>
      </c>
      <c r="N11" s="773"/>
      <c r="O11" s="571">
        <f>'２-Ⅲ'!C14</f>
        <v>50</v>
      </c>
      <c r="P11" s="571">
        <f>'２-Ⅲ'!H14</f>
        <v>3</v>
      </c>
      <c r="Q11" s="571">
        <f>'２-Ⅲ'!I14</f>
        <v>13</v>
      </c>
      <c r="R11" s="570">
        <f t="shared" si="0"/>
        <v>16</v>
      </c>
      <c r="S11" s="454"/>
      <c r="T11" s="574" t="s">
        <v>319</v>
      </c>
      <c r="U11" s="574" t="s">
        <v>287</v>
      </c>
      <c r="V11" s="454"/>
      <c r="W11" s="454"/>
      <c r="X11" s="454"/>
      <c r="Y11" s="454"/>
      <c r="Z11" s="454"/>
      <c r="AA11" s="454"/>
      <c r="AB11" s="454"/>
    </row>
    <row r="12" spans="13:28" ht="13.5" customHeight="1" x14ac:dyDescent="0.15">
      <c r="M12" s="772" t="s">
        <v>257</v>
      </c>
      <c r="N12" s="773"/>
      <c r="O12" s="571">
        <f>'２-Ⅲ'!C15</f>
        <v>281</v>
      </c>
      <c r="P12" s="571">
        <f>'２-Ⅲ'!H15</f>
        <v>5</v>
      </c>
      <c r="Q12" s="571">
        <f>'２-Ⅲ'!I15</f>
        <v>19</v>
      </c>
      <c r="R12" s="570">
        <f t="shared" si="0"/>
        <v>24</v>
      </c>
      <c r="S12" s="454"/>
      <c r="T12" s="574" t="s">
        <v>320</v>
      </c>
      <c r="U12" s="574" t="s">
        <v>288</v>
      </c>
      <c r="V12" s="454"/>
      <c r="W12" s="454"/>
      <c r="X12" s="454"/>
      <c r="Y12" s="454"/>
      <c r="Z12" s="454"/>
      <c r="AA12" s="454"/>
      <c r="AB12" s="454"/>
    </row>
    <row r="13" spans="13:28" ht="13.5" customHeight="1" x14ac:dyDescent="0.15">
      <c r="M13" s="772" t="s">
        <v>23</v>
      </c>
      <c r="N13" s="773"/>
      <c r="O13" s="571">
        <f>'２-Ⅲ'!C16</f>
        <v>124</v>
      </c>
      <c r="P13" s="571">
        <f>'２-Ⅲ'!H16</f>
        <v>4</v>
      </c>
      <c r="Q13" s="571">
        <f>'２-Ⅲ'!I16</f>
        <v>15</v>
      </c>
      <c r="R13" s="570">
        <f t="shared" si="0"/>
        <v>19</v>
      </c>
      <c r="S13" s="454"/>
      <c r="T13" s="574" t="s">
        <v>321</v>
      </c>
      <c r="U13" s="574" t="s">
        <v>289</v>
      </c>
      <c r="V13" s="454"/>
      <c r="W13" s="454"/>
      <c r="X13" s="454"/>
      <c r="Y13" s="454"/>
      <c r="Z13" s="454"/>
      <c r="AA13" s="454"/>
      <c r="AB13" s="454"/>
    </row>
    <row r="14" spans="13:28" ht="13.5" customHeight="1" x14ac:dyDescent="0.15">
      <c r="M14" s="772" t="s">
        <v>258</v>
      </c>
      <c r="N14" s="774"/>
      <c r="O14" s="571">
        <f>'２-Ⅲ'!C17</f>
        <v>40</v>
      </c>
      <c r="P14" s="571">
        <f>'２-Ⅲ'!H17</f>
        <v>0</v>
      </c>
      <c r="Q14" s="571">
        <f>'２-Ⅲ'!I17</f>
        <v>7</v>
      </c>
      <c r="R14" s="570">
        <f t="shared" si="0"/>
        <v>7</v>
      </c>
      <c r="S14" s="454"/>
      <c r="T14" s="574" t="s">
        <v>322</v>
      </c>
      <c r="U14" s="574" t="s">
        <v>290</v>
      </c>
      <c r="V14" s="454"/>
      <c r="W14" s="454"/>
      <c r="X14" s="454"/>
      <c r="Y14" s="454"/>
      <c r="Z14" s="454"/>
      <c r="AA14" s="454"/>
      <c r="AB14" s="454"/>
    </row>
    <row r="15" spans="13:28" ht="13.5" customHeight="1" x14ac:dyDescent="0.15">
      <c r="M15" s="772" t="s">
        <v>123</v>
      </c>
      <c r="N15" s="775"/>
      <c r="O15" s="571">
        <f>'２-Ⅲ'!C18</f>
        <v>58</v>
      </c>
      <c r="P15" s="571">
        <f>'２-Ⅲ'!H18</f>
        <v>0</v>
      </c>
      <c r="Q15" s="571">
        <f>'２-Ⅲ'!I18</f>
        <v>7</v>
      </c>
      <c r="R15" s="570">
        <f t="shared" si="0"/>
        <v>7</v>
      </c>
      <c r="S15" s="454"/>
      <c r="T15" s="574" t="s">
        <v>354</v>
      </c>
      <c r="U15" s="574" t="s">
        <v>291</v>
      </c>
      <c r="V15" s="454"/>
      <c r="W15" s="454"/>
      <c r="X15" s="454"/>
      <c r="Y15" s="454"/>
      <c r="Z15" s="454"/>
      <c r="AA15" s="454"/>
      <c r="AB15" s="454"/>
    </row>
    <row r="16" spans="13:28" ht="13.5" customHeight="1" x14ac:dyDescent="0.15">
      <c r="M16" s="776" t="s">
        <v>18</v>
      </c>
      <c r="N16" s="777"/>
      <c r="O16" s="571">
        <f>'２-Ⅲ'!C19</f>
        <v>111</v>
      </c>
      <c r="P16" s="571">
        <f>'２-Ⅲ'!H19</f>
        <v>2</v>
      </c>
      <c r="Q16" s="571">
        <f>'２-Ⅲ'!I19</f>
        <v>15</v>
      </c>
      <c r="R16" s="570">
        <f t="shared" si="0"/>
        <v>17</v>
      </c>
      <c r="S16" s="454"/>
      <c r="T16" s="574" t="s">
        <v>103</v>
      </c>
      <c r="U16" s="574" t="s">
        <v>296</v>
      </c>
      <c r="V16" s="454"/>
      <c r="W16" s="454"/>
      <c r="X16" s="454"/>
      <c r="Y16" s="454"/>
      <c r="Z16" s="454"/>
      <c r="AA16" s="454"/>
      <c r="AB16" s="454"/>
    </row>
    <row r="17" spans="13:28" ht="13.5" customHeight="1" x14ac:dyDescent="0.15">
      <c r="M17" s="454"/>
      <c r="N17" s="454"/>
      <c r="O17" s="454"/>
      <c r="P17" s="454"/>
      <c r="Q17" s="454"/>
      <c r="R17" s="454"/>
      <c r="S17" s="454"/>
      <c r="T17" s="454"/>
      <c r="U17" s="574" t="s">
        <v>292</v>
      </c>
      <c r="V17" s="454"/>
      <c r="W17" s="454"/>
      <c r="X17" s="454"/>
      <c r="Y17" s="454"/>
      <c r="Z17" s="454"/>
      <c r="AA17" s="454"/>
      <c r="AB17" s="454"/>
    </row>
    <row r="18" spans="13:28" ht="13.5" customHeight="1" x14ac:dyDescent="0.15">
      <c r="M18" s="454"/>
      <c r="N18" s="454"/>
      <c r="O18" s="454"/>
      <c r="P18" s="454"/>
      <c r="Q18" s="454"/>
      <c r="R18" s="454"/>
      <c r="S18" s="454"/>
      <c r="T18" s="454"/>
      <c r="U18" s="574" t="s">
        <v>293</v>
      </c>
      <c r="V18" s="454"/>
      <c r="W18" s="454"/>
      <c r="X18" s="454"/>
      <c r="Y18" s="454"/>
      <c r="Z18" s="454"/>
      <c r="AA18" s="454"/>
      <c r="AB18" s="454"/>
    </row>
    <row r="19" spans="13:28" ht="13.5" customHeight="1" x14ac:dyDescent="0.15">
      <c r="M19" s="454"/>
      <c r="N19" s="454"/>
      <c r="O19" s="454"/>
      <c r="P19" s="454"/>
      <c r="Q19" s="454"/>
      <c r="R19" s="454"/>
      <c r="S19" s="454"/>
      <c r="T19" s="454"/>
      <c r="U19" s="574" t="s">
        <v>297</v>
      </c>
      <c r="V19" s="454"/>
      <c r="W19" s="454"/>
      <c r="X19" s="454"/>
      <c r="Y19" s="454"/>
      <c r="Z19" s="454"/>
      <c r="AA19" s="454"/>
      <c r="AB19" s="454"/>
    </row>
    <row r="20" spans="13:28" ht="13.5" customHeight="1" x14ac:dyDescent="0.15">
      <c r="M20" s="454"/>
      <c r="N20" s="454"/>
      <c r="O20" s="454"/>
      <c r="P20" s="454"/>
      <c r="Q20" s="454"/>
      <c r="R20" s="454"/>
      <c r="S20" s="454"/>
      <c r="T20" s="454"/>
      <c r="U20" s="574" t="s">
        <v>294</v>
      </c>
      <c r="V20" s="454"/>
      <c r="W20" s="454"/>
      <c r="X20" s="454"/>
      <c r="Y20" s="454"/>
      <c r="Z20" s="454"/>
      <c r="AA20" s="454"/>
      <c r="AB20" s="454"/>
    </row>
    <row r="21" spans="13:28" ht="13.5" customHeight="1" x14ac:dyDescent="0.15">
      <c r="M21" s="454"/>
      <c r="N21" s="454"/>
      <c r="O21" s="454"/>
      <c r="P21" s="454"/>
      <c r="Q21" s="454"/>
      <c r="R21" s="454"/>
      <c r="S21" s="454"/>
      <c r="T21" s="454"/>
      <c r="U21" s="574" t="s">
        <v>18</v>
      </c>
      <c r="V21" s="454"/>
      <c r="W21" s="454"/>
      <c r="X21" s="454"/>
      <c r="Y21" s="454"/>
      <c r="Z21" s="454"/>
      <c r="AA21" s="454"/>
      <c r="AB21" s="454"/>
    </row>
    <row r="22" spans="13:28" ht="13.5" customHeight="1" x14ac:dyDescent="0.15">
      <c r="M22" s="454"/>
      <c r="N22" s="454"/>
      <c r="O22" s="454"/>
      <c r="P22" s="454"/>
      <c r="Q22" s="454"/>
      <c r="R22" s="454"/>
      <c r="S22" s="454"/>
      <c r="T22" s="454"/>
      <c r="U22" s="454"/>
      <c r="V22" s="454"/>
      <c r="W22" s="454"/>
      <c r="X22" s="454"/>
      <c r="Y22" s="454"/>
      <c r="Z22" s="454"/>
      <c r="AA22" s="454"/>
      <c r="AB22" s="454"/>
    </row>
    <row r="23" spans="13:28" ht="13.5" customHeight="1" x14ac:dyDescent="0.15">
      <c r="M23" s="575"/>
      <c r="N23" s="576"/>
      <c r="O23" s="577" t="s">
        <v>0</v>
      </c>
      <c r="P23" s="577" t="s">
        <v>114</v>
      </c>
      <c r="Q23" s="577" t="s">
        <v>116</v>
      </c>
      <c r="R23" s="577" t="s">
        <v>12</v>
      </c>
      <c r="S23" s="454"/>
      <c r="T23" s="454"/>
      <c r="U23" s="454"/>
      <c r="V23" s="454"/>
      <c r="W23" s="454"/>
      <c r="X23" s="454"/>
      <c r="Y23" s="454"/>
      <c r="Z23" s="454"/>
      <c r="AA23" s="454"/>
      <c r="AB23" s="454"/>
    </row>
    <row r="24" spans="13:28" ht="13.5" customHeight="1" x14ac:dyDescent="0.15">
      <c r="M24" s="780" t="s">
        <v>120</v>
      </c>
      <c r="N24" s="781"/>
      <c r="O24" s="570">
        <f>'３-Ⅲ'!C5</f>
        <v>2224</v>
      </c>
      <c r="P24" s="571">
        <f>'３-Ⅲ'!H5</f>
        <v>12</v>
      </c>
      <c r="Q24" s="570">
        <f>'３-Ⅲ'!I5</f>
        <v>81</v>
      </c>
      <c r="R24" s="570">
        <f t="shared" ref="R24:R35" si="1">SUM(P24:Q24)</f>
        <v>93</v>
      </c>
      <c r="S24" s="454"/>
      <c r="T24" s="454"/>
      <c r="U24" s="454"/>
      <c r="V24" s="454"/>
      <c r="W24" s="454"/>
      <c r="X24" s="454"/>
      <c r="Y24" s="454"/>
      <c r="Z24" s="454"/>
      <c r="AA24" s="454"/>
      <c r="AB24" s="454"/>
    </row>
    <row r="25" spans="13:28" ht="13.5" customHeight="1" x14ac:dyDescent="0.15">
      <c r="M25" s="772" t="s">
        <v>20</v>
      </c>
      <c r="N25" s="773"/>
      <c r="O25" s="571">
        <f>'３-Ⅲ'!C9</f>
        <v>333</v>
      </c>
      <c r="P25" s="571">
        <f>'３-Ⅲ'!H9</f>
        <v>4</v>
      </c>
      <c r="Q25" s="570">
        <f>'３-Ⅲ'!I9</f>
        <v>25</v>
      </c>
      <c r="R25" s="570">
        <f t="shared" si="1"/>
        <v>29</v>
      </c>
      <c r="S25" s="454"/>
      <c r="T25" s="454"/>
      <c r="U25" s="454"/>
      <c r="V25" s="454"/>
      <c r="W25" s="454"/>
      <c r="X25" s="454"/>
      <c r="Y25" s="454"/>
      <c r="Z25" s="454"/>
      <c r="AA25" s="454"/>
      <c r="AB25" s="454"/>
    </row>
    <row r="26" spans="13:28" ht="13.5" customHeight="1" x14ac:dyDescent="0.15">
      <c r="M26" s="772" t="s">
        <v>73</v>
      </c>
      <c r="N26" s="773"/>
      <c r="O26" s="571">
        <f>'３-Ⅲ'!C10</f>
        <v>5487</v>
      </c>
      <c r="P26" s="571">
        <f>'３-Ⅲ'!H10</f>
        <v>23</v>
      </c>
      <c r="Q26" s="570">
        <f>'３-Ⅲ'!I10</f>
        <v>295</v>
      </c>
      <c r="R26" s="570">
        <f t="shared" si="1"/>
        <v>318</v>
      </c>
      <c r="S26" s="454"/>
      <c r="T26" s="454"/>
      <c r="U26" s="454"/>
      <c r="V26" s="454"/>
      <c r="W26" s="454"/>
      <c r="X26" s="454"/>
      <c r="Y26" s="454"/>
      <c r="Z26" s="454"/>
      <c r="AA26" s="454"/>
      <c r="AB26" s="454"/>
    </row>
    <row r="27" spans="13:28" ht="13.5" customHeight="1" x14ac:dyDescent="0.15">
      <c r="M27" s="772" t="s">
        <v>22</v>
      </c>
      <c r="N27" s="773"/>
      <c r="O27" s="571">
        <f>'３-Ⅲ'!C11</f>
        <v>623</v>
      </c>
      <c r="P27" s="571">
        <f>'３-Ⅲ'!H11</f>
        <v>10</v>
      </c>
      <c r="Q27" s="570">
        <f>'３-Ⅲ'!I11</f>
        <v>72</v>
      </c>
      <c r="R27" s="570">
        <f t="shared" si="1"/>
        <v>82</v>
      </c>
      <c r="S27" s="454"/>
      <c r="T27" s="454"/>
      <c r="U27" s="454"/>
      <c r="V27" s="454"/>
      <c r="W27" s="454"/>
      <c r="X27" s="454"/>
      <c r="Y27" s="454"/>
      <c r="Z27" s="454"/>
      <c r="AA27" s="454"/>
      <c r="AB27" s="454"/>
    </row>
    <row r="28" spans="13:28" ht="13.5" customHeight="1" x14ac:dyDescent="0.15">
      <c r="M28" s="772" t="s">
        <v>24</v>
      </c>
      <c r="N28" s="773"/>
      <c r="O28" s="571">
        <f>'３-Ⅲ'!C12</f>
        <v>85</v>
      </c>
      <c r="P28" s="571">
        <f>'３-Ⅲ'!H12</f>
        <v>2</v>
      </c>
      <c r="Q28" s="570">
        <f>'３-Ⅲ'!I12</f>
        <v>11</v>
      </c>
      <c r="R28" s="570">
        <f t="shared" si="1"/>
        <v>13</v>
      </c>
      <c r="S28" s="454"/>
      <c r="T28" s="454"/>
      <c r="U28" s="454"/>
      <c r="V28" s="454"/>
      <c r="W28" s="454"/>
      <c r="X28" s="454"/>
      <c r="Y28" s="454"/>
      <c r="Z28" s="454"/>
      <c r="AA28" s="454"/>
      <c r="AB28" s="454"/>
    </row>
    <row r="29" spans="13:28" ht="13.5" customHeight="1" x14ac:dyDescent="0.15">
      <c r="M29" s="772" t="s">
        <v>25</v>
      </c>
      <c r="N29" s="773"/>
      <c r="O29" s="571">
        <f>'３-Ⅲ'!C13</f>
        <v>9</v>
      </c>
      <c r="P29" s="571">
        <f>'３-Ⅲ'!H13</f>
        <v>0</v>
      </c>
      <c r="Q29" s="570">
        <f>'３-Ⅲ'!I13</f>
        <v>0</v>
      </c>
      <c r="R29" s="570">
        <f t="shared" si="1"/>
        <v>0</v>
      </c>
      <c r="S29" s="454"/>
      <c r="T29" s="454"/>
      <c r="U29" s="454"/>
      <c r="V29" s="454"/>
      <c r="W29" s="454"/>
      <c r="X29" s="454"/>
      <c r="Y29" s="454"/>
      <c r="Z29" s="454"/>
      <c r="AA29" s="454"/>
      <c r="AB29" s="454"/>
    </row>
    <row r="30" spans="13:28" ht="13.5" customHeight="1" x14ac:dyDescent="0.15">
      <c r="M30" s="772" t="s">
        <v>256</v>
      </c>
      <c r="N30" s="773"/>
      <c r="O30" s="571">
        <f>'３-Ⅲ'!C14</f>
        <v>16</v>
      </c>
      <c r="P30" s="571">
        <f>'３-Ⅲ'!H14</f>
        <v>0</v>
      </c>
      <c r="Q30" s="570">
        <f>'３-Ⅲ'!I14</f>
        <v>2</v>
      </c>
      <c r="R30" s="570">
        <f t="shared" si="1"/>
        <v>2</v>
      </c>
      <c r="S30" s="454"/>
      <c r="T30" s="454"/>
      <c r="U30" s="454"/>
      <c r="V30" s="454"/>
      <c r="W30" s="454"/>
      <c r="X30" s="454"/>
      <c r="Y30" s="454"/>
      <c r="Z30" s="454"/>
      <c r="AA30" s="454"/>
      <c r="AB30" s="454"/>
    </row>
    <row r="31" spans="13:28" ht="13.5" customHeight="1" x14ac:dyDescent="0.15">
      <c r="M31" s="772" t="s">
        <v>257</v>
      </c>
      <c r="N31" s="773"/>
      <c r="O31" s="571">
        <f>'３-Ⅲ'!C15</f>
        <v>154</v>
      </c>
      <c r="P31" s="571">
        <f>'３-Ⅲ'!H15</f>
        <v>0</v>
      </c>
      <c r="Q31" s="570">
        <f>'３-Ⅲ'!I15</f>
        <v>6</v>
      </c>
      <c r="R31" s="570">
        <f t="shared" si="1"/>
        <v>6</v>
      </c>
      <c r="S31" s="454"/>
      <c r="T31" s="454"/>
      <c r="U31" s="454"/>
      <c r="V31" s="454"/>
      <c r="W31" s="454"/>
      <c r="X31" s="454"/>
      <c r="Y31" s="454"/>
      <c r="Z31" s="454"/>
      <c r="AA31" s="454"/>
      <c r="AB31" s="454"/>
    </row>
    <row r="32" spans="13:28" ht="13.5" customHeight="1" x14ac:dyDescent="0.15">
      <c r="M32" s="772" t="s">
        <v>23</v>
      </c>
      <c r="N32" s="773"/>
      <c r="O32" s="571">
        <f>'３-Ⅲ'!C16</f>
        <v>36</v>
      </c>
      <c r="P32" s="571">
        <f>'３-Ⅲ'!H16</f>
        <v>0</v>
      </c>
      <c r="Q32" s="570">
        <f>'３-Ⅲ'!I16</f>
        <v>3</v>
      </c>
      <c r="R32" s="570">
        <f t="shared" si="1"/>
        <v>3</v>
      </c>
      <c r="S32" s="454"/>
      <c r="T32" s="454"/>
      <c r="U32" s="454"/>
      <c r="V32" s="454"/>
      <c r="W32" s="454"/>
      <c r="X32" s="454"/>
      <c r="Y32" s="454"/>
      <c r="Z32" s="454"/>
      <c r="AA32" s="454"/>
      <c r="AB32" s="454"/>
    </row>
    <row r="33" spans="13:28" ht="13.5" customHeight="1" x14ac:dyDescent="0.15">
      <c r="M33" s="772" t="s">
        <v>258</v>
      </c>
      <c r="N33" s="774"/>
      <c r="O33" s="571">
        <f>'３-Ⅲ'!C17</f>
        <v>7</v>
      </c>
      <c r="P33" s="571">
        <f>'３-Ⅲ'!H17</f>
        <v>0</v>
      </c>
      <c r="Q33" s="570">
        <f>'３-Ⅲ'!I17</f>
        <v>1</v>
      </c>
      <c r="R33" s="570">
        <f t="shared" si="1"/>
        <v>1</v>
      </c>
      <c r="S33" s="454"/>
      <c r="T33" s="454"/>
      <c r="U33" s="454"/>
      <c r="V33" s="454"/>
      <c r="W33" s="454"/>
      <c r="X33" s="454"/>
      <c r="Y33" s="454"/>
      <c r="Z33" s="454"/>
      <c r="AA33" s="454"/>
      <c r="AB33" s="454"/>
    </row>
    <row r="34" spans="13:28" ht="13.5" customHeight="1" x14ac:dyDescent="0.15">
      <c r="M34" s="772" t="s">
        <v>123</v>
      </c>
      <c r="N34" s="775"/>
      <c r="O34" s="571">
        <f>'３-Ⅲ'!C18</f>
        <v>37</v>
      </c>
      <c r="P34" s="571">
        <f>'３-Ⅲ'!H18</f>
        <v>0</v>
      </c>
      <c r="Q34" s="570">
        <f>'３-Ⅲ'!I18</f>
        <v>4</v>
      </c>
      <c r="R34" s="570">
        <f t="shared" si="1"/>
        <v>4</v>
      </c>
      <c r="S34" s="454"/>
      <c r="T34" s="454"/>
      <c r="U34" s="454"/>
      <c r="V34" s="454"/>
      <c r="W34" s="454"/>
      <c r="X34" s="454"/>
      <c r="Y34" s="454"/>
      <c r="Z34" s="454"/>
      <c r="AA34" s="454"/>
      <c r="AB34" s="454"/>
    </row>
    <row r="35" spans="13:28" ht="13.5" customHeight="1" x14ac:dyDescent="0.15">
      <c r="M35" s="776" t="s">
        <v>18</v>
      </c>
      <c r="N35" s="777"/>
      <c r="O35" s="571">
        <f>'３-Ⅲ'!C19</f>
        <v>51</v>
      </c>
      <c r="P35" s="571">
        <f>'３-Ⅲ'!H19</f>
        <v>1</v>
      </c>
      <c r="Q35" s="570">
        <f>'３-Ⅲ'!I19</f>
        <v>1</v>
      </c>
      <c r="R35" s="570">
        <f t="shared" si="1"/>
        <v>2</v>
      </c>
      <c r="S35" s="454"/>
      <c r="T35" s="454"/>
      <c r="U35" s="454"/>
      <c r="V35" s="454"/>
      <c r="W35" s="454"/>
      <c r="X35" s="454"/>
      <c r="Y35" s="454"/>
      <c r="Z35" s="454"/>
      <c r="AA35" s="454"/>
      <c r="AB35" s="454"/>
    </row>
    <row r="45" spans="13:28" ht="13.5" customHeight="1" x14ac:dyDescent="0.15">
      <c r="M45" s="463"/>
      <c r="N45" s="464"/>
      <c r="O45" s="465" t="s">
        <v>0</v>
      </c>
      <c r="P45" s="469" t="s">
        <v>350</v>
      </c>
      <c r="Q45" s="466"/>
      <c r="R45" s="467"/>
    </row>
    <row r="46" spans="13:28" ht="13.5" customHeight="1" x14ac:dyDescent="0.15">
      <c r="M46" s="778" t="s">
        <v>120</v>
      </c>
      <c r="N46" s="779"/>
      <c r="O46" s="451">
        <f>'４-Ⅲ'!D6</f>
        <v>4013</v>
      </c>
      <c r="P46" s="452">
        <f>'４-Ⅲ'!D26</f>
        <v>270</v>
      </c>
      <c r="Q46" s="468"/>
      <c r="R46" s="185"/>
    </row>
    <row r="47" spans="13:28" ht="13.5" customHeight="1" x14ac:dyDescent="0.15">
      <c r="M47" s="766" t="s">
        <v>20</v>
      </c>
      <c r="N47" s="770"/>
      <c r="O47" s="452">
        <f>'４-Ⅲ'!D10</f>
        <v>373</v>
      </c>
      <c r="P47" s="452">
        <f>'４-Ⅲ'!D30</f>
        <v>77</v>
      </c>
      <c r="Q47" s="468"/>
      <c r="R47" s="185"/>
    </row>
    <row r="48" spans="13:28" ht="13.5" customHeight="1" x14ac:dyDescent="0.15">
      <c r="M48" s="766" t="s">
        <v>73</v>
      </c>
      <c r="N48" s="770"/>
      <c r="O48" s="452">
        <f>'４-Ⅲ'!D11</f>
        <v>3573</v>
      </c>
      <c r="P48" s="452">
        <f>'４-Ⅲ'!D31</f>
        <v>280</v>
      </c>
      <c r="Q48" s="468"/>
      <c r="R48" s="185"/>
    </row>
    <row r="49" spans="13:18" ht="13.5" customHeight="1" x14ac:dyDescent="0.15">
      <c r="M49" s="766" t="s">
        <v>22</v>
      </c>
      <c r="N49" s="770"/>
      <c r="O49" s="452">
        <f>'４-Ⅲ'!D12</f>
        <v>961</v>
      </c>
      <c r="P49" s="452">
        <f>'４-Ⅲ'!D32</f>
        <v>178</v>
      </c>
      <c r="Q49" s="468"/>
      <c r="R49" s="185"/>
    </row>
    <row r="50" spans="13:18" ht="13.5" customHeight="1" x14ac:dyDescent="0.15">
      <c r="M50" s="766" t="s">
        <v>24</v>
      </c>
      <c r="N50" s="770"/>
      <c r="O50" s="452">
        <f>'４-Ⅲ'!D13</f>
        <v>96</v>
      </c>
      <c r="P50" s="452">
        <f>'４-Ⅲ'!D33</f>
        <v>22</v>
      </c>
      <c r="Q50" s="468"/>
      <c r="R50" s="185"/>
    </row>
    <row r="51" spans="13:18" ht="13.5" customHeight="1" x14ac:dyDescent="0.15">
      <c r="M51" s="766" t="s">
        <v>25</v>
      </c>
      <c r="N51" s="770"/>
      <c r="O51" s="452">
        <f>'４-Ⅲ'!D14</f>
        <v>5</v>
      </c>
      <c r="P51" s="452">
        <f>'４-Ⅲ'!D34</f>
        <v>0</v>
      </c>
      <c r="Q51" s="468"/>
      <c r="R51" s="185"/>
    </row>
    <row r="52" spans="13:18" ht="13.5" customHeight="1" x14ac:dyDescent="0.15">
      <c r="M52" s="766" t="s">
        <v>256</v>
      </c>
      <c r="N52" s="770"/>
      <c r="O52" s="452">
        <f>'４-Ⅲ'!D15</f>
        <v>9</v>
      </c>
      <c r="P52" s="452">
        <f>'４-Ⅲ'!D35</f>
        <v>2</v>
      </c>
      <c r="Q52" s="468"/>
      <c r="R52" s="185"/>
    </row>
    <row r="53" spans="13:18" ht="13.5" customHeight="1" x14ac:dyDescent="0.15">
      <c r="M53" s="766" t="s">
        <v>257</v>
      </c>
      <c r="N53" s="770"/>
      <c r="O53" s="452">
        <f>'４-Ⅲ'!D16</f>
        <v>61</v>
      </c>
      <c r="P53" s="452">
        <f>'４-Ⅲ'!D36</f>
        <v>2</v>
      </c>
      <c r="Q53" s="468"/>
      <c r="R53" s="185"/>
    </row>
    <row r="54" spans="13:18" ht="13.5" customHeight="1" x14ac:dyDescent="0.15">
      <c r="M54" s="766" t="s">
        <v>23</v>
      </c>
      <c r="N54" s="770"/>
      <c r="O54" s="452">
        <f>'４-Ⅲ'!D17</f>
        <v>6</v>
      </c>
      <c r="P54" s="452">
        <f>'４-Ⅲ'!D37</f>
        <v>2</v>
      </c>
      <c r="Q54" s="468"/>
      <c r="R54" s="185"/>
    </row>
    <row r="55" spans="13:18" ht="13.5" customHeight="1" x14ac:dyDescent="0.15">
      <c r="M55" s="766" t="s">
        <v>258</v>
      </c>
      <c r="N55" s="771"/>
      <c r="O55" s="452">
        <f>'４-Ⅲ'!D18</f>
        <v>6</v>
      </c>
      <c r="P55" s="452">
        <f>'４-Ⅲ'!D38</f>
        <v>0</v>
      </c>
      <c r="Q55" s="468"/>
      <c r="R55" s="185"/>
    </row>
    <row r="56" spans="13:18" ht="13.5" customHeight="1" x14ac:dyDescent="0.15">
      <c r="M56" s="766" t="s">
        <v>123</v>
      </c>
      <c r="N56" s="767"/>
      <c r="O56" s="452">
        <f>'４-Ⅲ'!D19</f>
        <v>23</v>
      </c>
      <c r="P56" s="452">
        <f>'４-Ⅲ'!D39</f>
        <v>4</v>
      </c>
      <c r="Q56" s="468"/>
      <c r="R56" s="185"/>
    </row>
    <row r="57" spans="13:18" ht="13.5" customHeight="1" x14ac:dyDescent="0.15">
      <c r="M57" s="768" t="s">
        <v>18</v>
      </c>
      <c r="N57" s="769"/>
      <c r="O57" s="452">
        <f>'４-Ⅲ'!D20</f>
        <v>69</v>
      </c>
      <c r="P57" s="452">
        <f>'４-Ⅲ'!D40</f>
        <v>7</v>
      </c>
      <c r="Q57" s="468"/>
      <c r="R57" s="185"/>
    </row>
  </sheetData>
  <mergeCells count="36">
    <mergeCell ref="M5:N5"/>
    <mergeCell ref="M27:N27"/>
    <mergeCell ref="M6:N6"/>
    <mergeCell ref="M7:N7"/>
    <mergeCell ref="M8:N8"/>
    <mergeCell ref="M9:N9"/>
    <mergeCell ref="M10:N10"/>
    <mergeCell ref="M11:N11"/>
    <mergeCell ref="M14:N14"/>
    <mergeCell ref="M15:N15"/>
    <mergeCell ref="M16:N16"/>
    <mergeCell ref="M12:N12"/>
    <mergeCell ref="M13:N13"/>
    <mergeCell ref="M24:N24"/>
    <mergeCell ref="M25:N25"/>
    <mergeCell ref="M26:N26"/>
    <mergeCell ref="M49:N49"/>
    <mergeCell ref="M28:N28"/>
    <mergeCell ref="M29:N29"/>
    <mergeCell ref="M30:N30"/>
    <mergeCell ref="M31:N31"/>
    <mergeCell ref="M32:N32"/>
    <mergeCell ref="M33:N33"/>
    <mergeCell ref="M34:N34"/>
    <mergeCell ref="M35:N35"/>
    <mergeCell ref="M46:N46"/>
    <mergeCell ref="M47:N47"/>
    <mergeCell ref="M48:N48"/>
    <mergeCell ref="M56:N56"/>
    <mergeCell ref="M57:N57"/>
    <mergeCell ref="M50:N50"/>
    <mergeCell ref="M51:N51"/>
    <mergeCell ref="M52:N52"/>
    <mergeCell ref="M53:N53"/>
    <mergeCell ref="M54:N54"/>
    <mergeCell ref="M55:N55"/>
  </mergeCells>
  <phoneticPr fontId="2"/>
  <pageMargins left="0.44270833333333331" right="0.41666666666666669" top="0.60606060606060608" bottom="0.5113636363636363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7" tint="-0.249977111117893"/>
  </sheetPr>
  <dimension ref="L1:Q12"/>
  <sheetViews>
    <sheetView view="pageBreakPreview" zoomScaleNormal="100" zoomScaleSheetLayoutView="100" zoomScalePageLayoutView="110" workbookViewId="0">
      <selection activeCell="F2" sqref="F2"/>
    </sheetView>
  </sheetViews>
  <sheetFormatPr defaultColWidth="9" defaultRowHeight="18.75" x14ac:dyDescent="0.15"/>
  <cols>
    <col min="1" max="11" width="9.5" style="1" customWidth="1"/>
    <col min="12" max="12" width="26" style="1" customWidth="1"/>
    <col min="13" max="17" width="11.625" style="1" customWidth="1"/>
    <col min="18" max="16384" width="9" style="1"/>
  </cols>
  <sheetData>
    <row r="1" spans="12:17" x14ac:dyDescent="0.15">
      <c r="L1" s="9" t="s">
        <v>329</v>
      </c>
      <c r="M1" s="9"/>
      <c r="N1" s="9"/>
      <c r="O1" s="9"/>
      <c r="P1" s="9"/>
      <c r="Q1" s="9"/>
    </row>
    <row r="2" spans="12:17" x14ac:dyDescent="0.15">
      <c r="L2" s="9"/>
      <c r="M2" s="578" t="s">
        <v>0</v>
      </c>
      <c r="N2" s="578"/>
      <c r="O2" s="578"/>
      <c r="P2" s="579" t="s">
        <v>1</v>
      </c>
      <c r="Q2" s="12"/>
    </row>
    <row r="3" spans="12:17" s="142" customFormat="1" x14ac:dyDescent="0.15">
      <c r="L3" s="580" t="s">
        <v>278</v>
      </c>
      <c r="M3" s="581" t="s">
        <v>156</v>
      </c>
      <c r="N3" s="582" t="s">
        <v>88</v>
      </c>
      <c r="O3" s="582" t="s">
        <v>62</v>
      </c>
      <c r="P3" s="581" t="s">
        <v>156</v>
      </c>
      <c r="Q3" s="582" t="s">
        <v>88</v>
      </c>
    </row>
    <row r="4" spans="12:17" x14ac:dyDescent="0.15">
      <c r="L4" s="583" t="s">
        <v>69</v>
      </c>
      <c r="M4" s="584">
        <f>O4-N4</f>
        <v>2660</v>
      </c>
      <c r="N4" s="584">
        <f>'４-Ⅳ'!B23</f>
        <v>3531</v>
      </c>
      <c r="O4" s="584">
        <f>'２-Ⅳ'!B22</f>
        <v>6191</v>
      </c>
      <c r="P4" s="585">
        <f>IFERROR(M4/$O4,0)</f>
        <v>0.42965595218866098</v>
      </c>
      <c r="Q4" s="585">
        <f>IFERROR(N4/$O4,)</f>
        <v>0.57034404781133907</v>
      </c>
    </row>
    <row r="5" spans="12:17" x14ac:dyDescent="0.15">
      <c r="L5" s="583" t="s">
        <v>326</v>
      </c>
      <c r="M5" s="584">
        <f t="shared" ref="M5:M7" si="0">O5-N5</f>
        <v>1642</v>
      </c>
      <c r="N5" s="584">
        <f>'４-Ⅳ'!B24</f>
        <v>3239</v>
      </c>
      <c r="O5" s="584">
        <f>'２-Ⅳ'!B23</f>
        <v>4881</v>
      </c>
      <c r="P5" s="585">
        <f>IFERROR(M5/$O5,0)</f>
        <v>0.3364064740831797</v>
      </c>
      <c r="Q5" s="585">
        <f t="shared" ref="Q5:Q12" si="1">IFERROR(N5/$O5,)</f>
        <v>0.6635935259168203</v>
      </c>
    </row>
    <row r="6" spans="12:17" x14ac:dyDescent="0.15">
      <c r="L6" s="583" t="s">
        <v>327</v>
      </c>
      <c r="M6" s="584">
        <f t="shared" si="0"/>
        <v>822</v>
      </c>
      <c r="N6" s="584">
        <f>'４-Ⅳ'!B25</f>
        <v>1090</v>
      </c>
      <c r="O6" s="584">
        <f>'２-Ⅳ'!B24</f>
        <v>1912</v>
      </c>
      <c r="P6" s="585">
        <f t="shared" ref="P6:P12" si="2">IFERROR(M6/$O6,0)</f>
        <v>0.42991631799163182</v>
      </c>
      <c r="Q6" s="585">
        <f t="shared" si="1"/>
        <v>0.57008368200836823</v>
      </c>
    </row>
    <row r="7" spans="12:17" x14ac:dyDescent="0.15">
      <c r="L7" s="583" t="s">
        <v>72</v>
      </c>
      <c r="M7" s="584">
        <f t="shared" si="0"/>
        <v>934</v>
      </c>
      <c r="N7" s="584">
        <f>'４-Ⅳ'!B26</f>
        <v>1335</v>
      </c>
      <c r="O7" s="584">
        <f>'２-Ⅳ'!B25</f>
        <v>2269</v>
      </c>
      <c r="P7" s="585">
        <f t="shared" si="2"/>
        <v>0.41163508153371531</v>
      </c>
      <c r="Q7" s="585">
        <f t="shared" si="1"/>
        <v>0.58836491846628469</v>
      </c>
    </row>
    <row r="8" spans="12:17" x14ac:dyDescent="0.15">
      <c r="L8" s="582" t="s">
        <v>328</v>
      </c>
      <c r="M8" s="581" t="s">
        <v>156</v>
      </c>
      <c r="N8" s="582" t="s">
        <v>88</v>
      </c>
      <c r="O8" s="582" t="s">
        <v>62</v>
      </c>
      <c r="P8" s="581" t="s">
        <v>156</v>
      </c>
      <c r="Q8" s="582" t="s">
        <v>88</v>
      </c>
    </row>
    <row r="9" spans="12:17" x14ac:dyDescent="0.15">
      <c r="L9" s="583" t="s">
        <v>69</v>
      </c>
      <c r="M9" s="584">
        <f>O9-N9</f>
        <v>708</v>
      </c>
      <c r="N9" s="584">
        <f>'４-Ⅳ'!D23</f>
        <v>505</v>
      </c>
      <c r="O9" s="584">
        <f>'２-Ⅳ'!H22</f>
        <v>1213</v>
      </c>
      <c r="P9" s="585">
        <f>IFERROR(M9/$O9,0)</f>
        <v>0.58367683429513606</v>
      </c>
      <c r="Q9" s="585">
        <f t="shared" si="1"/>
        <v>0.416323165704864</v>
      </c>
    </row>
    <row r="10" spans="12:17" x14ac:dyDescent="0.15">
      <c r="L10" s="583" t="s">
        <v>326</v>
      </c>
      <c r="M10" s="584">
        <f t="shared" ref="M10:M12" si="3">O10-N10</f>
        <v>135</v>
      </c>
      <c r="N10" s="584">
        <f>'４-Ⅳ'!D24</f>
        <v>204</v>
      </c>
      <c r="O10" s="584">
        <f>'２-Ⅳ'!H23</f>
        <v>339</v>
      </c>
      <c r="P10" s="585">
        <f t="shared" si="2"/>
        <v>0.39823008849557523</v>
      </c>
      <c r="Q10" s="585">
        <f t="shared" si="1"/>
        <v>0.60176991150442483</v>
      </c>
    </row>
    <row r="11" spans="12:17" x14ac:dyDescent="0.15">
      <c r="L11" s="583" t="s">
        <v>327</v>
      </c>
      <c r="M11" s="584">
        <f t="shared" si="3"/>
        <v>43</v>
      </c>
      <c r="N11" s="584">
        <f>'４-Ⅳ'!D25</f>
        <v>69</v>
      </c>
      <c r="O11" s="584">
        <f>'２-Ⅳ'!H24</f>
        <v>112</v>
      </c>
      <c r="P11" s="585">
        <f t="shared" si="2"/>
        <v>0.38392857142857145</v>
      </c>
      <c r="Q11" s="585">
        <f t="shared" si="1"/>
        <v>0.6160714285714286</v>
      </c>
    </row>
    <row r="12" spans="12:17" x14ac:dyDescent="0.15">
      <c r="L12" s="583" t="s">
        <v>72</v>
      </c>
      <c r="M12" s="584">
        <f t="shared" si="3"/>
        <v>36</v>
      </c>
      <c r="N12" s="584">
        <f>'４-Ⅳ'!D26</f>
        <v>66</v>
      </c>
      <c r="O12" s="584">
        <f>'２-Ⅳ'!H25</f>
        <v>102</v>
      </c>
      <c r="P12" s="585">
        <f t="shared" si="2"/>
        <v>0.35294117647058826</v>
      </c>
      <c r="Q12" s="585">
        <f t="shared" si="1"/>
        <v>0.6470588235294118</v>
      </c>
    </row>
  </sheetData>
  <phoneticPr fontId="2"/>
  <pageMargins left="0.44270833333333331" right="0.41666666666666669" top="0.60606060606060608" bottom="0.5113636363636363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L1:Q24"/>
  <sheetViews>
    <sheetView view="pageBreakPreview" topLeftCell="B1" zoomScaleNormal="100" zoomScaleSheetLayoutView="100" zoomScalePageLayoutView="110" workbookViewId="0">
      <selection activeCell="G2" sqref="G2"/>
    </sheetView>
  </sheetViews>
  <sheetFormatPr defaultColWidth="9" defaultRowHeight="18.75" x14ac:dyDescent="0.15"/>
  <cols>
    <col min="1" max="11" width="9.5" style="1" customWidth="1"/>
    <col min="12" max="12" width="26" style="1" customWidth="1"/>
    <col min="13" max="17" width="11.625" style="1" customWidth="1"/>
    <col min="18" max="16384" width="9" style="1"/>
  </cols>
  <sheetData>
    <row r="1" spans="12:17" x14ac:dyDescent="0.15">
      <c r="L1" s="9" t="s">
        <v>329</v>
      </c>
      <c r="M1" s="9"/>
      <c r="N1" s="9"/>
      <c r="O1" s="9"/>
      <c r="P1" s="9"/>
      <c r="Q1" s="9"/>
    </row>
    <row r="2" spans="12:17" x14ac:dyDescent="0.15">
      <c r="L2" s="9"/>
      <c r="M2" s="578" t="s">
        <v>0</v>
      </c>
      <c r="N2" s="578"/>
      <c r="O2" s="578"/>
      <c r="P2" s="579" t="s">
        <v>1</v>
      </c>
      <c r="Q2" s="12"/>
    </row>
    <row r="3" spans="12:17" s="142" customFormat="1" x14ac:dyDescent="0.15">
      <c r="L3" s="580" t="s">
        <v>577</v>
      </c>
      <c r="M3" s="581" t="s">
        <v>306</v>
      </c>
      <c r="N3" s="596" t="s">
        <v>307</v>
      </c>
      <c r="O3" s="596" t="s">
        <v>578</v>
      </c>
      <c r="P3" s="581" t="s">
        <v>306</v>
      </c>
      <c r="Q3" s="596" t="s">
        <v>307</v>
      </c>
    </row>
    <row r="4" spans="12:17" x14ac:dyDescent="0.15">
      <c r="L4" s="583" t="s">
        <v>358</v>
      </c>
      <c r="M4" s="584">
        <f>O4-N4</f>
        <v>2660</v>
      </c>
      <c r="N4" s="584">
        <f>'４-Ⅳ'!B23</f>
        <v>3531</v>
      </c>
      <c r="O4" s="584">
        <f>'２-Ⅳ'!B22</f>
        <v>6191</v>
      </c>
      <c r="P4" s="585">
        <f>IFERROR(M4/$O4,0)</f>
        <v>0.42965595218866098</v>
      </c>
      <c r="Q4" s="585">
        <f>IFERROR(N4/$O4,)</f>
        <v>0.57034404781133907</v>
      </c>
    </row>
    <row r="5" spans="12:17" x14ac:dyDescent="0.15">
      <c r="L5" s="583" t="s">
        <v>359</v>
      </c>
      <c r="M5" s="584">
        <f>O5-N5</f>
        <v>1642</v>
      </c>
      <c r="N5" s="584">
        <f>'４-Ⅳ'!B24</f>
        <v>3239</v>
      </c>
      <c r="O5" s="584">
        <f>'２-Ⅳ'!B23</f>
        <v>4881</v>
      </c>
      <c r="P5" s="585">
        <f>IFERROR(M5/$O5,0)</f>
        <v>0.3364064740831797</v>
      </c>
      <c r="Q5" s="585">
        <f>IFERROR(N5/$O5,)</f>
        <v>0.6635935259168203</v>
      </c>
    </row>
    <row r="6" spans="12:17" x14ac:dyDescent="0.15">
      <c r="L6" s="583" t="s">
        <v>360</v>
      </c>
      <c r="M6" s="584">
        <f>O6-N6</f>
        <v>822</v>
      </c>
      <c r="N6" s="584">
        <f>'４-Ⅳ'!B25</f>
        <v>1090</v>
      </c>
      <c r="O6" s="584">
        <f>'２-Ⅳ'!B24</f>
        <v>1912</v>
      </c>
      <c r="P6" s="585">
        <f>IFERROR(M6/$O6,0)</f>
        <v>0.42991631799163182</v>
      </c>
      <c r="Q6" s="585">
        <f>IFERROR(N6/$O6,)</f>
        <v>0.57008368200836823</v>
      </c>
    </row>
    <row r="7" spans="12:17" x14ac:dyDescent="0.15">
      <c r="L7" s="583" t="s">
        <v>361</v>
      </c>
      <c r="M7" s="584">
        <f>O7-N7</f>
        <v>934</v>
      </c>
      <c r="N7" s="584">
        <f>'４-Ⅳ'!B26</f>
        <v>1335</v>
      </c>
      <c r="O7" s="584">
        <f>'２-Ⅳ'!B25</f>
        <v>2269</v>
      </c>
      <c r="P7" s="585">
        <f>IFERROR(M7/$O7,0)</f>
        <v>0.41163508153371531</v>
      </c>
      <c r="Q7" s="585">
        <f>IFERROR(N7/$O7,)</f>
        <v>0.58836491846628469</v>
      </c>
    </row>
    <row r="8" spans="12:17" x14ac:dyDescent="0.15">
      <c r="L8" s="596" t="s">
        <v>579</v>
      </c>
      <c r="M8" s="581" t="s">
        <v>306</v>
      </c>
      <c r="N8" s="596" t="s">
        <v>307</v>
      </c>
      <c r="O8" s="596" t="s">
        <v>578</v>
      </c>
      <c r="P8" s="581" t="s">
        <v>306</v>
      </c>
      <c r="Q8" s="596" t="s">
        <v>307</v>
      </c>
    </row>
    <row r="9" spans="12:17" x14ac:dyDescent="0.15">
      <c r="L9" s="583" t="s">
        <v>358</v>
      </c>
      <c r="M9" s="584">
        <f>O9-N9</f>
        <v>708</v>
      </c>
      <c r="N9" s="584">
        <f>'４-Ⅳ'!D23</f>
        <v>505</v>
      </c>
      <c r="O9" s="584">
        <f>'２-Ⅳ'!H22</f>
        <v>1213</v>
      </c>
      <c r="P9" s="585">
        <f>IFERROR(M9/$O9,0)</f>
        <v>0.58367683429513606</v>
      </c>
      <c r="Q9" s="585">
        <f>IFERROR(N9/$O9,)</f>
        <v>0.416323165704864</v>
      </c>
    </row>
    <row r="10" spans="12:17" x14ac:dyDescent="0.15">
      <c r="L10" s="583" t="s">
        <v>359</v>
      </c>
      <c r="M10" s="584">
        <f>O10-N10</f>
        <v>135</v>
      </c>
      <c r="N10" s="584">
        <f>'４-Ⅳ'!D24</f>
        <v>204</v>
      </c>
      <c r="O10" s="584">
        <f>'２-Ⅳ'!H23</f>
        <v>339</v>
      </c>
      <c r="P10" s="585">
        <f>IFERROR(M10/$O10,0)</f>
        <v>0.39823008849557523</v>
      </c>
      <c r="Q10" s="585">
        <f>IFERROR(N10/$O10,)</f>
        <v>0.60176991150442483</v>
      </c>
    </row>
    <row r="11" spans="12:17" x14ac:dyDescent="0.15">
      <c r="L11" s="583" t="s">
        <v>360</v>
      </c>
      <c r="M11" s="584">
        <f>O11-N11</f>
        <v>43</v>
      </c>
      <c r="N11" s="584">
        <f>'４-Ⅳ'!D25</f>
        <v>69</v>
      </c>
      <c r="O11" s="584">
        <f>'２-Ⅳ'!H24</f>
        <v>112</v>
      </c>
      <c r="P11" s="585">
        <f>IFERROR(M11/$O11,0)</f>
        <v>0.38392857142857145</v>
      </c>
      <c r="Q11" s="585">
        <f>IFERROR(N11/$O11,)</f>
        <v>0.6160714285714286</v>
      </c>
    </row>
    <row r="12" spans="12:17" x14ac:dyDescent="0.15">
      <c r="L12" s="583" t="s">
        <v>361</v>
      </c>
      <c r="M12" s="584">
        <f>O12-N12</f>
        <v>36</v>
      </c>
      <c r="N12" s="584">
        <f>'４-Ⅳ'!D26</f>
        <v>66</v>
      </c>
      <c r="O12" s="584">
        <f>'２-Ⅳ'!H25</f>
        <v>102</v>
      </c>
      <c r="P12" s="585">
        <f>IFERROR(M12/$O12,0)</f>
        <v>0.35294117647058826</v>
      </c>
      <c r="Q12" s="585">
        <f>IFERROR(N12/$O12,)</f>
        <v>0.6470588235294118</v>
      </c>
    </row>
    <row r="17" spans="12:17" x14ac:dyDescent="0.15">
      <c r="L17" s="9" t="s">
        <v>329</v>
      </c>
      <c r="M17" s="9"/>
      <c r="N17" s="9"/>
      <c r="O17" s="9"/>
      <c r="P17" s="9"/>
      <c r="Q17" s="9"/>
    </row>
    <row r="18" spans="12:17" x14ac:dyDescent="0.15">
      <c r="L18" s="9"/>
      <c r="M18" s="578" t="s">
        <v>0</v>
      </c>
      <c r="N18" s="578"/>
      <c r="O18" s="578"/>
      <c r="P18" s="579" t="s">
        <v>1</v>
      </c>
      <c r="Q18" s="12"/>
    </row>
    <row r="19" spans="12:17" x14ac:dyDescent="0.15">
      <c r="L19" s="580" t="s">
        <v>278</v>
      </c>
      <c r="M19" s="581" t="s">
        <v>156</v>
      </c>
      <c r="N19" s="596" t="s">
        <v>88</v>
      </c>
      <c r="O19" s="596" t="s">
        <v>62</v>
      </c>
      <c r="P19" s="581" t="s">
        <v>156</v>
      </c>
      <c r="Q19" s="596" t="s">
        <v>88</v>
      </c>
    </row>
    <row r="20" spans="12:17" x14ac:dyDescent="0.15">
      <c r="L20" s="583" t="s">
        <v>69</v>
      </c>
      <c r="M20" s="584">
        <f>M4</f>
        <v>2660</v>
      </c>
      <c r="N20" s="584">
        <f>N4</f>
        <v>3531</v>
      </c>
      <c r="O20" s="584">
        <f>SUM(M20:N20)</f>
        <v>6191</v>
      </c>
      <c r="P20" s="585">
        <f>IFERROR(M20/$O20,0)</f>
        <v>0.42965595218866098</v>
      </c>
      <c r="Q20" s="585">
        <f>IFERROR(N20/$O20,)</f>
        <v>0.57034404781133907</v>
      </c>
    </row>
    <row r="21" spans="12:17" x14ac:dyDescent="0.15">
      <c r="L21" s="583" t="s">
        <v>580</v>
      </c>
      <c r="M21" s="584">
        <f>SUM(M5:M7)</f>
        <v>3398</v>
      </c>
      <c r="N21" s="584">
        <f>SUM(N5:N7)</f>
        <v>5664</v>
      </c>
      <c r="O21" s="584">
        <f>SUM(M21:N21)</f>
        <v>9062</v>
      </c>
      <c r="P21" s="585">
        <f>IFERROR(M21/$O21,0)</f>
        <v>0.37497241227102185</v>
      </c>
      <c r="Q21" s="585">
        <f>IFERROR(N21/$O21,)</f>
        <v>0.62502758772897815</v>
      </c>
    </row>
    <row r="22" spans="12:17" x14ac:dyDescent="0.15">
      <c r="L22" s="596" t="s">
        <v>328</v>
      </c>
      <c r="M22" s="581" t="s">
        <v>156</v>
      </c>
      <c r="N22" s="596" t="s">
        <v>88</v>
      </c>
      <c r="O22" s="596" t="s">
        <v>62</v>
      </c>
      <c r="P22" s="581" t="s">
        <v>156</v>
      </c>
      <c r="Q22" s="596" t="s">
        <v>88</v>
      </c>
    </row>
    <row r="23" spans="12:17" x14ac:dyDescent="0.15">
      <c r="L23" s="583" t="s">
        <v>69</v>
      </c>
      <c r="M23" s="584">
        <f>M9</f>
        <v>708</v>
      </c>
      <c r="N23" s="584">
        <f>N9</f>
        <v>505</v>
      </c>
      <c r="O23" s="584">
        <f t="shared" ref="O23:O24" si="0">SUM(M23:N23)</f>
        <v>1213</v>
      </c>
      <c r="P23" s="585">
        <f>IFERROR(M23/$O23,0)</f>
        <v>0.58367683429513606</v>
      </c>
      <c r="Q23" s="585">
        <f>IFERROR(N23/$O23,)</f>
        <v>0.416323165704864</v>
      </c>
    </row>
    <row r="24" spans="12:17" x14ac:dyDescent="0.15">
      <c r="L24" s="583" t="s">
        <v>580</v>
      </c>
      <c r="M24" s="584">
        <f>SUM(M10:M12)</f>
        <v>214</v>
      </c>
      <c r="N24" s="584">
        <f>SUM(N10:N12)</f>
        <v>339</v>
      </c>
      <c r="O24" s="584">
        <f t="shared" si="0"/>
        <v>553</v>
      </c>
      <c r="P24" s="585">
        <f>IFERROR(M24/$O24,0)</f>
        <v>0.38698010849909587</v>
      </c>
      <c r="Q24" s="585">
        <f>IFERROR(N24/$O24,)</f>
        <v>0.61301989150090419</v>
      </c>
    </row>
  </sheetData>
  <phoneticPr fontId="2"/>
  <pageMargins left="0.44270833333333331" right="0.41666666666666669" top="0.60606060606060608" bottom="0.5113636363636363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7" tint="-0.249977111117893"/>
  </sheetPr>
  <dimension ref="B1:U32"/>
  <sheetViews>
    <sheetView view="pageBreakPreview" topLeftCell="A10" zoomScale="80" zoomScaleNormal="70" zoomScaleSheetLayoutView="80" zoomScalePageLayoutView="80" workbookViewId="0">
      <selection activeCell="F10" sqref="F10"/>
    </sheetView>
  </sheetViews>
  <sheetFormatPr defaultColWidth="9" defaultRowHeight="28.5" customHeight="1" x14ac:dyDescent="0.15"/>
  <cols>
    <col min="1" max="1" width="4.75" style="1" customWidth="1"/>
    <col min="2" max="2" width="11.125" style="441" customWidth="1"/>
    <col min="3" max="3" width="38.25" style="1" customWidth="1"/>
    <col min="4" max="4" width="12.375" style="1" customWidth="1"/>
    <col min="5" max="5" width="38.25" style="1" customWidth="1"/>
    <col min="6" max="6" width="12.375" style="1" customWidth="1"/>
    <col min="7" max="7" width="7.125" style="1" customWidth="1"/>
    <col min="8" max="8" width="12.375" style="1" customWidth="1"/>
    <col min="9" max="9" width="30.875" style="1" customWidth="1"/>
    <col min="10" max="11" width="9.5" style="1" customWidth="1"/>
    <col min="12" max="14" width="9" style="1" customWidth="1"/>
    <col min="15" max="15" width="9.125" style="1" customWidth="1"/>
    <col min="16" max="16" width="28.5" style="1" customWidth="1"/>
    <col min="17" max="17" width="9.625" style="1" customWidth="1"/>
    <col min="18" max="20" width="9" style="1" customWidth="1"/>
    <col min="21" max="16384" width="9" style="1"/>
  </cols>
  <sheetData>
    <row r="1" spans="2:21" ht="88.5" customHeight="1" x14ac:dyDescent="0.15">
      <c r="I1" s="9" t="s">
        <v>348</v>
      </c>
      <c r="J1" s="9"/>
      <c r="K1" s="9"/>
      <c r="L1" s="9"/>
      <c r="M1" s="9"/>
      <c r="N1" s="9"/>
      <c r="O1" s="9"/>
      <c r="P1" s="9"/>
      <c r="Q1" s="9"/>
      <c r="R1" s="9"/>
      <c r="S1" s="9"/>
      <c r="T1" s="9"/>
      <c r="U1" s="9"/>
    </row>
    <row r="2" spans="2:21" ht="63" customHeight="1" thickBot="1" x14ac:dyDescent="0.2">
      <c r="B2" s="783" t="s">
        <v>341</v>
      </c>
      <c r="C2" s="783"/>
      <c r="I2" s="586" t="s">
        <v>345</v>
      </c>
      <c r="J2" s="782" t="s">
        <v>330</v>
      </c>
      <c r="K2" s="782"/>
      <c r="L2" s="782" t="s">
        <v>331</v>
      </c>
      <c r="M2" s="782"/>
      <c r="N2" s="9"/>
      <c r="O2" s="9"/>
      <c r="P2" s="9"/>
      <c r="Q2" s="9"/>
      <c r="R2" s="9"/>
      <c r="S2" s="9"/>
      <c r="T2" s="9"/>
      <c r="U2" s="9"/>
    </row>
    <row r="3" spans="2:21" ht="72" customHeight="1" x14ac:dyDescent="0.15">
      <c r="B3" s="444"/>
      <c r="C3" s="784" t="str">
        <f>"全在院患者（"&amp;$J$9&amp;"人)中"</f>
        <v>全在院患者（1969人)中</v>
      </c>
      <c r="D3" s="784"/>
      <c r="E3" s="784" t="str">
        <f>"在院1年以上寛解・院内寛解群（"&amp;$L$9&amp;"人)中"</f>
        <v>在院1年以上寛解・院内寛解群（355人)中</v>
      </c>
      <c r="F3" s="785"/>
      <c r="I3" s="587" t="s">
        <v>338</v>
      </c>
      <c r="J3" s="588">
        <f>'２-Ⅵ'!B5</f>
        <v>2187</v>
      </c>
      <c r="K3" s="585">
        <f>'２-Ⅵ'!C5</f>
        <v>0.14338162984330952</v>
      </c>
      <c r="L3" s="584">
        <f>'３-Ⅴ'!H5</f>
        <v>369</v>
      </c>
      <c r="M3" s="585">
        <f>'３-Ⅴ'!I5</f>
        <v>0.66726943942133821</v>
      </c>
      <c r="N3" s="9"/>
      <c r="O3" s="9"/>
      <c r="P3" s="9"/>
      <c r="Q3" s="9"/>
      <c r="R3" s="9"/>
      <c r="S3" s="9"/>
      <c r="T3" s="9"/>
      <c r="U3" s="9"/>
    </row>
    <row r="4" spans="2:21" ht="72" customHeight="1" x14ac:dyDescent="0.15">
      <c r="B4" s="445">
        <v>1</v>
      </c>
      <c r="C4" s="442" t="str">
        <f>INDEX($I$15:$I$32,MATCH(B4,$N$15:$N$32,0))</f>
        <v>現実認識が乏しい</v>
      </c>
      <c r="D4" s="443">
        <f>LARGE($K$15:$K$32,B4)</f>
        <v>0.42661249365159981</v>
      </c>
      <c r="E4" s="442" t="str">
        <f>INDEX($I$15:$I$32,MATCH(B4,$O$15:$O$32,0))</f>
        <v>退院意欲が乏しい</v>
      </c>
      <c r="F4" s="446">
        <f>LARGE($M$15:$M$32,B4)</f>
        <v>0.43098591549295773</v>
      </c>
      <c r="I4" s="587" t="s">
        <v>339</v>
      </c>
      <c r="J4" s="588">
        <f>'２-Ⅵ'!B6</f>
        <v>11321</v>
      </c>
      <c r="K4" s="585">
        <f>'２-Ⅵ'!C6</f>
        <v>0.74221464629908873</v>
      </c>
      <c r="L4" s="584">
        <f>'３-Ⅴ'!H6</f>
        <v>94</v>
      </c>
      <c r="M4" s="585">
        <f>'３-Ⅴ'!I6</f>
        <v>0.16998191681735986</v>
      </c>
      <c r="N4" s="9"/>
      <c r="O4" s="9"/>
      <c r="P4" s="9"/>
      <c r="Q4" s="9"/>
      <c r="R4" s="9"/>
      <c r="S4" s="9"/>
      <c r="T4" s="9"/>
      <c r="U4" s="9"/>
    </row>
    <row r="5" spans="2:21" ht="72" customHeight="1" x14ac:dyDescent="0.15">
      <c r="B5" s="445">
        <v>2</v>
      </c>
      <c r="C5" s="442" t="str">
        <f t="shared" ref="C5:C8" si="0">INDEX($I$15:$I$32,MATCH(B5,$N$15:$N$32,0))</f>
        <v>病状は落ち着いているが、ときどき不安定な病状が見られ、そのことが退院を阻害する要因になっている</v>
      </c>
      <c r="D5" s="443">
        <f t="shared" ref="D5:D8" si="1">LARGE($K$15:$K$32,B5)</f>
        <v>0.37176231589639414</v>
      </c>
      <c r="E5" s="442" t="str">
        <f t="shared" ref="E5:E8" si="2">INDEX($I$15:$I$32,MATCH(B5,$O$15:$O$32,0))</f>
        <v>住まいの確保ができない</v>
      </c>
      <c r="F5" s="446">
        <f t="shared" ref="F5:F8" si="3">LARGE($M$15:$M$32,B5)</f>
        <v>0.36619718309859156</v>
      </c>
      <c r="I5" s="583" t="s">
        <v>36</v>
      </c>
      <c r="J5" s="588">
        <f>'２-Ⅵ'!B7</f>
        <v>1745</v>
      </c>
      <c r="K5" s="585">
        <f>'２-Ⅵ'!C7</f>
        <v>0.11440372385760178</v>
      </c>
      <c r="L5" s="584">
        <f>'３-Ⅴ'!H7</f>
        <v>90</v>
      </c>
      <c r="M5" s="585">
        <f>'３-Ⅴ'!I7</f>
        <v>0.16274864376130199</v>
      </c>
      <c r="N5" s="9"/>
      <c r="O5" s="9"/>
      <c r="P5" s="9"/>
      <c r="Q5" s="9"/>
      <c r="R5" s="9"/>
      <c r="S5" s="9"/>
      <c r="T5" s="9"/>
      <c r="U5" s="9"/>
    </row>
    <row r="6" spans="2:21" ht="72" customHeight="1" x14ac:dyDescent="0.15">
      <c r="B6" s="445">
        <v>3</v>
      </c>
      <c r="C6" s="442" t="str">
        <f t="shared" si="0"/>
        <v>退院意欲が乏しい</v>
      </c>
      <c r="D6" s="443">
        <f t="shared" si="1"/>
        <v>0.36922295581513459</v>
      </c>
      <c r="E6" s="442" t="str">
        <f t="shared" si="2"/>
        <v>退院による環境変化への不安が強い</v>
      </c>
      <c r="F6" s="446">
        <f t="shared" si="3"/>
        <v>0.30704225352112674</v>
      </c>
      <c r="I6" s="583" t="s">
        <v>12</v>
      </c>
      <c r="J6" s="588">
        <f>'２-Ⅵ'!B8</f>
        <v>15253</v>
      </c>
      <c r="K6" s="585">
        <f>'２-Ⅵ'!C8</f>
        <v>1</v>
      </c>
      <c r="L6" s="584">
        <f>'３-Ⅴ'!H8</f>
        <v>553</v>
      </c>
      <c r="M6" s="585">
        <f>'３-Ⅴ'!I8</f>
        <v>1</v>
      </c>
      <c r="N6" s="9"/>
      <c r="O6" s="9"/>
      <c r="P6" s="9"/>
      <c r="Q6" s="9"/>
      <c r="R6" s="9"/>
      <c r="S6" s="9"/>
      <c r="T6" s="9"/>
      <c r="U6" s="9"/>
    </row>
    <row r="7" spans="2:21" ht="72" customHeight="1" x14ac:dyDescent="0.15">
      <c r="B7" s="445">
        <v>4</v>
      </c>
      <c r="C7" s="442" t="str">
        <f t="shared" si="0"/>
        <v>住まいの確保ができない</v>
      </c>
      <c r="D7" s="443">
        <f t="shared" si="1"/>
        <v>0.36008125952260028</v>
      </c>
      <c r="E7" s="442" t="str">
        <f t="shared" si="2"/>
        <v>病状は落ち着いているが、ときどき不安定な病状が見られ、そのことが退院を阻害する要因になっている</v>
      </c>
      <c r="F7" s="446">
        <f t="shared" si="3"/>
        <v>0.26760563380281688</v>
      </c>
      <c r="I7" s="9"/>
      <c r="J7" s="9"/>
      <c r="K7" s="589"/>
      <c r="L7" s="9"/>
      <c r="M7" s="9"/>
      <c r="N7" s="9"/>
      <c r="O7" s="9"/>
      <c r="P7" s="9"/>
      <c r="Q7" s="9"/>
      <c r="R7" s="9"/>
      <c r="S7" s="9"/>
      <c r="T7" s="9"/>
      <c r="U7" s="9"/>
    </row>
    <row r="8" spans="2:21" ht="72" customHeight="1" thickBot="1" x14ac:dyDescent="0.2">
      <c r="B8" s="447">
        <v>5</v>
      </c>
      <c r="C8" s="448" t="str">
        <f t="shared" si="0"/>
        <v>家事（食事・洗濯・金銭管理など）ができない</v>
      </c>
      <c r="D8" s="449">
        <f t="shared" si="1"/>
        <v>0.31132554596241746</v>
      </c>
      <c r="E8" s="448" t="str">
        <f t="shared" si="2"/>
        <v>現実認識が乏しい</v>
      </c>
      <c r="F8" s="450">
        <f t="shared" si="3"/>
        <v>0.25352112676056338</v>
      </c>
      <c r="I8" s="590" t="s">
        <v>346</v>
      </c>
      <c r="J8" s="782" t="s">
        <v>330</v>
      </c>
      <c r="K8" s="782"/>
      <c r="L8" s="782" t="s">
        <v>331</v>
      </c>
      <c r="M8" s="782"/>
      <c r="N8" s="9"/>
      <c r="O8" s="9"/>
      <c r="P8" s="586" t="s">
        <v>347</v>
      </c>
      <c r="Q8" s="782" t="s">
        <v>330</v>
      </c>
      <c r="R8" s="782"/>
      <c r="S8" s="782" t="s">
        <v>331</v>
      </c>
      <c r="T8" s="782"/>
      <c r="U8" s="9"/>
    </row>
    <row r="9" spans="2:21" ht="63" customHeight="1" x14ac:dyDescent="0.15">
      <c r="I9" s="583" t="s">
        <v>34</v>
      </c>
      <c r="J9" s="588">
        <f>'２-Ⅵ'!B14</f>
        <v>1969</v>
      </c>
      <c r="K9" s="585">
        <f>'２-Ⅵ'!C14</f>
        <v>0.90032007315957929</v>
      </c>
      <c r="L9" s="588">
        <f>'３-Ⅴ'!H14</f>
        <v>355</v>
      </c>
      <c r="M9" s="585">
        <f>'３-Ⅴ'!I14</f>
        <v>0.96205962059620598</v>
      </c>
      <c r="N9" s="9"/>
      <c r="O9" s="9"/>
      <c r="P9" s="587" t="s">
        <v>343</v>
      </c>
      <c r="Q9" s="588">
        <f>J4</f>
        <v>11321</v>
      </c>
      <c r="R9" s="585">
        <f>Q9/$Q$13</f>
        <v>0.74221464629908873</v>
      </c>
      <c r="S9" s="584">
        <f>L4</f>
        <v>94</v>
      </c>
      <c r="T9" s="585">
        <f>S9/$S$13</f>
        <v>0.16998191681735986</v>
      </c>
      <c r="U9" s="9"/>
    </row>
    <row r="10" spans="2:21" ht="63" customHeight="1" x14ac:dyDescent="0.15">
      <c r="I10" s="583" t="s">
        <v>340</v>
      </c>
      <c r="J10" s="588">
        <f>'２-Ⅵ'!B15</f>
        <v>218</v>
      </c>
      <c r="K10" s="585">
        <f>'２-Ⅵ'!C15</f>
        <v>9.9679926840420666E-2</v>
      </c>
      <c r="L10" s="588">
        <f>'３-Ⅴ'!H15</f>
        <v>14</v>
      </c>
      <c r="M10" s="585">
        <f>'３-Ⅴ'!I15</f>
        <v>3.7940379403794036E-2</v>
      </c>
      <c r="N10" s="9"/>
      <c r="O10" s="9"/>
      <c r="P10" s="583" t="s">
        <v>344</v>
      </c>
      <c r="Q10" s="588">
        <f>J5</f>
        <v>1745</v>
      </c>
      <c r="R10" s="585">
        <f>Q10/$Q$13</f>
        <v>0.11440372385760178</v>
      </c>
      <c r="S10" s="584">
        <f>L5</f>
        <v>90</v>
      </c>
      <c r="T10" s="585">
        <f>S10/$S$13</f>
        <v>0.16274864376130199</v>
      </c>
      <c r="U10" s="9"/>
    </row>
    <row r="11" spans="2:21" ht="63" customHeight="1" x14ac:dyDescent="0.15">
      <c r="I11" s="583" t="s">
        <v>12</v>
      </c>
      <c r="J11" s="588">
        <f>'２-Ⅵ'!B16</f>
        <v>2187</v>
      </c>
      <c r="K11" s="585">
        <f>'２-Ⅵ'!C16</f>
        <v>1</v>
      </c>
      <c r="L11" s="588">
        <f>'３-Ⅴ'!H16</f>
        <v>369</v>
      </c>
      <c r="M11" s="585">
        <f>'３-Ⅴ'!I16</f>
        <v>1</v>
      </c>
      <c r="N11" s="9"/>
      <c r="O11" s="9"/>
      <c r="P11" s="583" t="s">
        <v>34</v>
      </c>
      <c r="Q11" s="588">
        <f>J9</f>
        <v>1969</v>
      </c>
      <c r="R11" s="585">
        <f>Q11/$Q$13</f>
        <v>0.12908935947026814</v>
      </c>
      <c r="S11" s="584">
        <f>L9</f>
        <v>355</v>
      </c>
      <c r="T11" s="585">
        <f>S11/$S$13</f>
        <v>0.64195298372513565</v>
      </c>
      <c r="U11" s="9"/>
    </row>
    <row r="12" spans="2:21" ht="63" customHeight="1" x14ac:dyDescent="0.15">
      <c r="I12" s="9"/>
      <c r="J12" s="9"/>
      <c r="K12" s="9"/>
      <c r="L12" s="9"/>
      <c r="M12" s="9"/>
      <c r="N12" s="9"/>
      <c r="O12" s="9"/>
      <c r="P12" s="583" t="s">
        <v>340</v>
      </c>
      <c r="Q12" s="588">
        <f>J10</f>
        <v>218</v>
      </c>
      <c r="R12" s="585">
        <f>Q12/$Q$13</f>
        <v>1.429227037304137E-2</v>
      </c>
      <c r="S12" s="584">
        <f>L10</f>
        <v>14</v>
      </c>
      <c r="T12" s="585">
        <f>S12/$S$13</f>
        <v>2.5316455696202531E-2</v>
      </c>
      <c r="U12" s="9"/>
    </row>
    <row r="13" spans="2:21" ht="63" customHeight="1" x14ac:dyDescent="0.15">
      <c r="I13" s="9"/>
      <c r="J13" s="9"/>
      <c r="K13" s="9"/>
      <c r="L13" s="9"/>
      <c r="M13" s="9"/>
      <c r="N13" s="9"/>
      <c r="O13" s="9"/>
      <c r="P13" s="583" t="s">
        <v>12</v>
      </c>
      <c r="Q13" s="584">
        <f>SUM(Q9:Q12)</f>
        <v>15253</v>
      </c>
      <c r="R13" s="585">
        <f>Q13/$Q$13</f>
        <v>1</v>
      </c>
      <c r="S13" s="584">
        <f>SUM(S9:S12)</f>
        <v>553</v>
      </c>
      <c r="T13" s="585">
        <f>S13/$S$13</f>
        <v>1</v>
      </c>
      <c r="U13" s="9"/>
    </row>
    <row r="14" spans="2:21" ht="63" customHeight="1" x14ac:dyDescent="0.15">
      <c r="I14" s="580"/>
      <c r="J14" s="782" t="s">
        <v>330</v>
      </c>
      <c r="K14" s="782"/>
      <c r="L14" s="782" t="s">
        <v>331</v>
      </c>
      <c r="M14" s="782"/>
      <c r="N14" s="578" t="s">
        <v>342</v>
      </c>
      <c r="O14" s="578" t="s">
        <v>342</v>
      </c>
      <c r="P14" s="9"/>
      <c r="Q14" s="9"/>
      <c r="R14" s="9"/>
      <c r="S14" s="9"/>
      <c r="T14" s="9"/>
      <c r="U14" s="9"/>
    </row>
    <row r="15" spans="2:21" s="142" customFormat="1" ht="63" customHeight="1" x14ac:dyDescent="0.15">
      <c r="B15" s="441"/>
      <c r="I15" s="591" t="s">
        <v>332</v>
      </c>
      <c r="J15" s="588">
        <f>'２-Ⅵ'!B23</f>
        <v>732</v>
      </c>
      <c r="K15" s="585">
        <f>'２-Ⅵ'!C23</f>
        <v>0.37176231589639414</v>
      </c>
      <c r="L15" s="588">
        <f>'３-Ⅴ'!H23</f>
        <v>95</v>
      </c>
      <c r="M15" s="585">
        <f>'３-Ⅴ'!I23</f>
        <v>0.26760563380281688</v>
      </c>
      <c r="N15" s="592">
        <f>_xlfn.RANK.EQ(K15,$K$15:$K$32)+COUNTIF($K$15:K15,K15)-1</f>
        <v>2</v>
      </c>
      <c r="O15" s="592">
        <f>_xlfn.RANK.EQ(M15,$M$15:$M$32)+COUNTIF($M$15:M15,M15)-1</f>
        <v>4</v>
      </c>
      <c r="P15" s="578"/>
      <c r="Q15" s="578"/>
      <c r="R15" s="578"/>
      <c r="S15" s="578"/>
      <c r="T15" s="578"/>
      <c r="U15" s="578"/>
    </row>
    <row r="16" spans="2:21" ht="63" customHeight="1" x14ac:dyDescent="0.15">
      <c r="I16" s="593" t="s">
        <v>66</v>
      </c>
      <c r="J16" s="588">
        <f>'２-Ⅵ'!B24</f>
        <v>572</v>
      </c>
      <c r="K16" s="585">
        <f>'２-Ⅵ'!C24</f>
        <v>0.29050279329608941</v>
      </c>
      <c r="L16" s="588">
        <f>'３-Ⅴ'!H24</f>
        <v>75</v>
      </c>
      <c r="M16" s="585">
        <f>'３-Ⅴ'!I24</f>
        <v>0.21126760563380281</v>
      </c>
      <c r="N16" s="592">
        <f>_xlfn.RANK.EQ(K16,$K$15:$K$32)+COUNTIF($K$15:K16,K16)-1</f>
        <v>7</v>
      </c>
      <c r="O16" s="592">
        <f>_xlfn.RANK.EQ(M16,$M$15:$M$32)+COUNTIF($M$15:M16,M16)-1</f>
        <v>8</v>
      </c>
      <c r="P16" s="9"/>
      <c r="Q16" s="9"/>
      <c r="R16" s="9"/>
      <c r="S16" s="9"/>
      <c r="T16" s="9"/>
      <c r="U16" s="9"/>
    </row>
    <row r="17" spans="9:21" ht="63" customHeight="1" x14ac:dyDescent="0.15">
      <c r="I17" s="593" t="s">
        <v>38</v>
      </c>
      <c r="J17" s="588">
        <f>'２-Ⅵ'!B25</f>
        <v>117</v>
      </c>
      <c r="K17" s="585">
        <f>'２-Ⅵ'!C25</f>
        <v>5.9421025901472829E-2</v>
      </c>
      <c r="L17" s="588">
        <f>'３-Ⅴ'!H25</f>
        <v>13</v>
      </c>
      <c r="M17" s="585">
        <f>'３-Ⅴ'!I25</f>
        <v>3.6619718309859155E-2</v>
      </c>
      <c r="N17" s="592">
        <f>_xlfn.RANK.EQ(K17,$K$15:$K$32)+COUNTIF($K$15:K17,K17)-1</f>
        <v>15</v>
      </c>
      <c r="O17" s="592">
        <f>_xlfn.RANK.EQ(M17,$M$15:$M$32)+COUNTIF($M$15:M17,M17)-1</f>
        <v>16</v>
      </c>
      <c r="P17" s="9"/>
      <c r="Q17" s="9"/>
      <c r="R17" s="9"/>
      <c r="S17" s="9"/>
      <c r="T17" s="9"/>
      <c r="U17" s="9"/>
    </row>
    <row r="18" spans="9:21" ht="63" customHeight="1" x14ac:dyDescent="0.15">
      <c r="I18" s="593" t="s">
        <v>592</v>
      </c>
      <c r="J18" s="588">
        <f>'２-Ⅵ'!B26</f>
        <v>727</v>
      </c>
      <c r="K18" s="585">
        <f>'２-Ⅵ'!C26</f>
        <v>0.36922295581513459</v>
      </c>
      <c r="L18" s="588">
        <f>'３-Ⅴ'!H26</f>
        <v>153</v>
      </c>
      <c r="M18" s="585">
        <f>'３-Ⅴ'!I26</f>
        <v>0.43098591549295773</v>
      </c>
      <c r="N18" s="592">
        <f>_xlfn.RANK.EQ(K18,$K$15:$K$32)+COUNTIF($K$15:K18,K18)-1</f>
        <v>3</v>
      </c>
      <c r="O18" s="592">
        <f>_xlfn.RANK.EQ(M18,$M$15:$M$32)+COUNTIF($M$15:M18,M18)-1</f>
        <v>1</v>
      </c>
      <c r="P18" s="9"/>
      <c r="Q18" s="9"/>
      <c r="R18" s="9"/>
      <c r="S18" s="9"/>
      <c r="T18" s="9"/>
      <c r="U18" s="9"/>
    </row>
    <row r="19" spans="9:21" ht="63" customHeight="1" x14ac:dyDescent="0.15">
      <c r="I19" s="593" t="s">
        <v>40</v>
      </c>
      <c r="J19" s="588">
        <f>'２-Ⅵ'!B27</f>
        <v>840</v>
      </c>
      <c r="K19" s="585">
        <f>'２-Ⅵ'!C27</f>
        <v>0.42661249365159981</v>
      </c>
      <c r="L19" s="588">
        <f>'３-Ⅴ'!H27</f>
        <v>90</v>
      </c>
      <c r="M19" s="585">
        <f>'３-Ⅴ'!I27</f>
        <v>0.25352112676056338</v>
      </c>
      <c r="N19" s="592">
        <f>_xlfn.RANK.EQ(K19,$K$15:$K$32)+COUNTIF($K$15:K19,K19)-1</f>
        <v>1</v>
      </c>
      <c r="O19" s="592">
        <f>_xlfn.RANK.EQ(M19,$M$15:$M$32)+COUNTIF($M$15:M19,M19)-1</f>
        <v>5</v>
      </c>
      <c r="P19" s="9"/>
      <c r="Q19" s="9"/>
      <c r="R19" s="9"/>
      <c r="S19" s="9"/>
      <c r="T19" s="9"/>
      <c r="U19" s="9"/>
    </row>
    <row r="20" spans="9:21" ht="63" customHeight="1" x14ac:dyDescent="0.15">
      <c r="I20" s="593" t="s">
        <v>333</v>
      </c>
      <c r="J20" s="588">
        <f>'２-Ⅵ'!B28</f>
        <v>602</v>
      </c>
      <c r="K20" s="585">
        <f>'２-Ⅵ'!C28</f>
        <v>0.30573895378364652</v>
      </c>
      <c r="L20" s="588">
        <f>'３-Ⅴ'!H28</f>
        <v>109</v>
      </c>
      <c r="M20" s="585">
        <f>'３-Ⅴ'!I28</f>
        <v>0.30704225352112674</v>
      </c>
      <c r="N20" s="592">
        <f>_xlfn.RANK.EQ(K20,$K$15:$K$32)+COUNTIF($K$15:K20,K20)-1</f>
        <v>6</v>
      </c>
      <c r="O20" s="592">
        <f>_xlfn.RANK.EQ(M20,$M$15:$M$32)+COUNTIF($M$15:M20,M20)-1</f>
        <v>3</v>
      </c>
      <c r="P20" s="9"/>
      <c r="Q20" s="9"/>
      <c r="R20" s="9"/>
      <c r="S20" s="9"/>
      <c r="T20" s="9"/>
      <c r="U20" s="9"/>
    </row>
    <row r="21" spans="9:21" ht="63" customHeight="1" x14ac:dyDescent="0.15">
      <c r="I21" s="593" t="s">
        <v>42</v>
      </c>
      <c r="J21" s="588">
        <f>'２-Ⅵ'!B29</f>
        <v>183</v>
      </c>
      <c r="K21" s="585">
        <f>'２-Ⅵ'!C29</f>
        <v>9.2940578974098534E-2</v>
      </c>
      <c r="L21" s="588">
        <f>'３-Ⅴ'!H29</f>
        <v>18</v>
      </c>
      <c r="M21" s="585">
        <f>'３-Ⅴ'!I29</f>
        <v>5.0704225352112678E-2</v>
      </c>
      <c r="N21" s="592">
        <f>_xlfn.RANK.EQ(K21,$K$15:$K$32)+COUNTIF($K$15:K21,K21)-1</f>
        <v>10</v>
      </c>
      <c r="O21" s="592">
        <f>_xlfn.RANK.EQ(M21,$M$15:$M$32)+COUNTIF($M$15:M21,M21)-1</f>
        <v>14</v>
      </c>
      <c r="P21" s="9"/>
      <c r="Q21" s="9"/>
      <c r="R21" s="9"/>
      <c r="S21" s="9"/>
      <c r="T21" s="9"/>
      <c r="U21" s="9"/>
    </row>
    <row r="22" spans="9:21" ht="63" customHeight="1" x14ac:dyDescent="0.15">
      <c r="I22" s="593" t="s">
        <v>334</v>
      </c>
      <c r="J22" s="588">
        <f>'２-Ⅵ'!B30</f>
        <v>613</v>
      </c>
      <c r="K22" s="585">
        <f>'２-Ⅵ'!C30</f>
        <v>0.31132554596241746</v>
      </c>
      <c r="L22" s="588">
        <f>'３-Ⅴ'!H30</f>
        <v>78</v>
      </c>
      <c r="M22" s="585">
        <f>'３-Ⅴ'!I30</f>
        <v>0.21971830985915494</v>
      </c>
      <c r="N22" s="592">
        <f>_xlfn.RANK.EQ(K22,$K$15:$K$32)+COUNTIF($K$15:K22,K22)-1</f>
        <v>5</v>
      </c>
      <c r="O22" s="592">
        <f>_xlfn.RANK.EQ(M22,$M$15:$M$32)+COUNTIF($M$15:M22,M22)-1</f>
        <v>7</v>
      </c>
      <c r="P22" s="9"/>
      <c r="Q22" s="9"/>
      <c r="R22" s="9"/>
      <c r="S22" s="9"/>
      <c r="T22" s="9"/>
      <c r="U22" s="9"/>
    </row>
    <row r="23" spans="9:21" ht="63" customHeight="1" x14ac:dyDescent="0.15">
      <c r="I23" s="593" t="s">
        <v>335</v>
      </c>
      <c r="J23" s="588">
        <f>'２-Ⅵ'!B31</f>
        <v>367</v>
      </c>
      <c r="K23" s="585">
        <f>'２-Ⅵ'!C31</f>
        <v>0.18638902996444895</v>
      </c>
      <c r="L23" s="588">
        <f>'３-Ⅴ'!H31</f>
        <v>59</v>
      </c>
      <c r="M23" s="585">
        <f>'３-Ⅴ'!I31</f>
        <v>0.16619718309859155</v>
      </c>
      <c r="N23" s="592">
        <f>_xlfn.RANK.EQ(K23,$K$15:$K$32)+COUNTIF($K$15:K23,K23)-1</f>
        <v>9</v>
      </c>
      <c r="O23" s="592">
        <f>_xlfn.RANK.EQ(M23,$M$15:$M$32)+COUNTIF($M$15:M23,M23)-1</f>
        <v>9</v>
      </c>
      <c r="P23" s="9"/>
      <c r="Q23" s="9"/>
      <c r="R23" s="9"/>
      <c r="S23" s="9"/>
      <c r="T23" s="9"/>
      <c r="U23" s="9"/>
    </row>
    <row r="24" spans="9:21" ht="63" customHeight="1" x14ac:dyDescent="0.15">
      <c r="I24" s="593" t="s">
        <v>336</v>
      </c>
      <c r="J24" s="588">
        <f>'２-Ⅵ'!B32</f>
        <v>445</v>
      </c>
      <c r="K24" s="585">
        <f>'２-Ⅵ'!C32</f>
        <v>0.22600304723209752</v>
      </c>
      <c r="L24" s="588">
        <f>'３-Ⅴ'!H32</f>
        <v>89</v>
      </c>
      <c r="M24" s="585">
        <f>'３-Ⅴ'!I32</f>
        <v>0.25070422535211268</v>
      </c>
      <c r="N24" s="592">
        <f>_xlfn.RANK.EQ(K24,$K$15:$K$32)+COUNTIF($K$15:K24,K24)-1</f>
        <v>8</v>
      </c>
      <c r="O24" s="592">
        <f>_xlfn.RANK.EQ(M24,$M$15:$M$32)+COUNTIF($M$15:M24,M24)-1</f>
        <v>6</v>
      </c>
      <c r="P24" s="9"/>
      <c r="Q24" s="9"/>
      <c r="R24" s="9"/>
      <c r="S24" s="9"/>
      <c r="T24" s="9"/>
      <c r="U24" s="9"/>
    </row>
    <row r="25" spans="9:21" ht="63" customHeight="1" x14ac:dyDescent="0.15">
      <c r="I25" s="593" t="s">
        <v>46</v>
      </c>
      <c r="J25" s="588">
        <f>'２-Ⅵ'!B33</f>
        <v>709</v>
      </c>
      <c r="K25" s="585">
        <f>'２-Ⅵ'!C33</f>
        <v>0.36008125952260028</v>
      </c>
      <c r="L25" s="588">
        <f>'３-Ⅴ'!H33</f>
        <v>130</v>
      </c>
      <c r="M25" s="585">
        <f>'３-Ⅴ'!I33</f>
        <v>0.36619718309859156</v>
      </c>
      <c r="N25" s="592">
        <f>_xlfn.RANK.EQ(K25,$K$15:$K$32)+COUNTIF($K$15:K25,K25)-1</f>
        <v>4</v>
      </c>
      <c r="O25" s="592">
        <f>_xlfn.RANK.EQ(M25,$M$15:$M$32)+COUNTIF($M$15:M25,M25)-1</f>
        <v>2</v>
      </c>
      <c r="P25" s="9"/>
      <c r="Q25" s="9"/>
      <c r="R25" s="9"/>
      <c r="S25" s="9"/>
      <c r="T25" s="9"/>
      <c r="U25" s="9"/>
    </row>
    <row r="26" spans="9:21" ht="63" customHeight="1" x14ac:dyDescent="0.15">
      <c r="I26" s="593" t="s">
        <v>47</v>
      </c>
      <c r="J26" s="588">
        <f>'２-Ⅵ'!B34</f>
        <v>121</v>
      </c>
      <c r="K26" s="585">
        <f>'２-Ⅵ'!C34</f>
        <v>6.1452513966480445E-2</v>
      </c>
      <c r="L26" s="588">
        <f>'３-Ⅴ'!H34</f>
        <v>26</v>
      </c>
      <c r="M26" s="585">
        <f>'３-Ⅴ'!I34</f>
        <v>7.3239436619718309E-2</v>
      </c>
      <c r="N26" s="592">
        <f>_xlfn.RANK.EQ(K26,$K$15:$K$32)+COUNTIF($K$15:K26,K26)-1</f>
        <v>13</v>
      </c>
      <c r="O26" s="592">
        <f>_xlfn.RANK.EQ(M26,$M$15:$M$32)+COUNTIF($M$15:M26,M26)-1</f>
        <v>12</v>
      </c>
      <c r="P26" s="9"/>
      <c r="Q26" s="9"/>
      <c r="R26" s="9"/>
      <c r="S26" s="9"/>
      <c r="T26" s="9"/>
      <c r="U26" s="9"/>
    </row>
    <row r="27" spans="9:21" ht="63" customHeight="1" x14ac:dyDescent="0.15">
      <c r="I27" s="593" t="s">
        <v>48</v>
      </c>
      <c r="J27" s="588">
        <f>'２-Ⅵ'!B35</f>
        <v>119</v>
      </c>
      <c r="K27" s="585">
        <f>'２-Ⅵ'!C35</f>
        <v>6.043676993397664E-2</v>
      </c>
      <c r="L27" s="588">
        <f>'３-Ⅴ'!H35</f>
        <v>15</v>
      </c>
      <c r="M27" s="585">
        <f>'３-Ⅴ'!I35</f>
        <v>4.2253521126760563E-2</v>
      </c>
      <c r="N27" s="592">
        <f>_xlfn.RANK.EQ(K27,$K$15:$K$32)+COUNTIF($K$15:K27,K27)-1</f>
        <v>14</v>
      </c>
      <c r="O27" s="592">
        <f>_xlfn.RANK.EQ(M27,$M$15:$M$32)+COUNTIF($M$15:M27,M27)-1</f>
        <v>15</v>
      </c>
      <c r="P27" s="9"/>
      <c r="Q27" s="9"/>
      <c r="R27" s="9"/>
      <c r="S27" s="9"/>
      <c r="T27" s="9"/>
      <c r="U27" s="9"/>
    </row>
    <row r="28" spans="9:21" ht="63" customHeight="1" x14ac:dyDescent="0.15">
      <c r="I28" s="593" t="s">
        <v>49</v>
      </c>
      <c r="J28" s="588">
        <f>'２-Ⅵ'!B36</f>
        <v>11</v>
      </c>
      <c r="K28" s="585">
        <f>'２-Ⅵ'!C36</f>
        <v>5.5865921787709499E-3</v>
      </c>
      <c r="L28" s="588">
        <f>'３-Ⅴ'!H36</f>
        <v>2</v>
      </c>
      <c r="M28" s="585">
        <f>'３-Ⅴ'!I36</f>
        <v>5.6338028169014088E-3</v>
      </c>
      <c r="N28" s="592">
        <f>_xlfn.RANK.EQ(K28,$K$15:$K$32)+COUNTIF($K$15:K28,K28)-1</f>
        <v>18</v>
      </c>
      <c r="O28" s="592">
        <f>_xlfn.RANK.EQ(M28,$M$15:$M$32)+COUNTIF($M$15:M28,M28)-1</f>
        <v>18</v>
      </c>
      <c r="P28" s="9"/>
      <c r="Q28" s="9"/>
      <c r="R28" s="9"/>
      <c r="S28" s="9"/>
      <c r="T28" s="9"/>
      <c r="U28" s="9"/>
    </row>
    <row r="29" spans="9:21" ht="63" customHeight="1" x14ac:dyDescent="0.15">
      <c r="I29" s="593" t="s">
        <v>50</v>
      </c>
      <c r="J29" s="588">
        <f>'２-Ⅵ'!B37</f>
        <v>165</v>
      </c>
      <c r="K29" s="585">
        <f>'２-Ⅵ'!C37</f>
        <v>8.3798882681564241E-2</v>
      </c>
      <c r="L29" s="588">
        <f>'３-Ⅴ'!H37</f>
        <v>43</v>
      </c>
      <c r="M29" s="585">
        <f>'３-Ⅴ'!I37</f>
        <v>0.12112676056338029</v>
      </c>
      <c r="N29" s="592">
        <f>_xlfn.RANK.EQ(K29,$K$15:$K$32)+COUNTIF($K$15:K29,K29)-1</f>
        <v>12</v>
      </c>
      <c r="O29" s="592">
        <f>_xlfn.RANK.EQ(M29,$M$15:$M$32)+COUNTIF($M$15:M29,M29)-1</f>
        <v>10</v>
      </c>
      <c r="P29" s="9"/>
      <c r="Q29" s="9"/>
      <c r="R29" s="9"/>
      <c r="S29" s="9"/>
      <c r="T29" s="9"/>
      <c r="U29" s="9"/>
    </row>
    <row r="30" spans="9:21" ht="63" customHeight="1" x14ac:dyDescent="0.15">
      <c r="I30" s="593" t="s">
        <v>51</v>
      </c>
      <c r="J30" s="588">
        <f>'２-Ⅵ'!B38</f>
        <v>182</v>
      </c>
      <c r="K30" s="585">
        <f>'２-Ⅵ'!C38</f>
        <v>9.2432706957846625E-2</v>
      </c>
      <c r="L30" s="588">
        <f>'３-Ⅴ'!H38</f>
        <v>42</v>
      </c>
      <c r="M30" s="585">
        <f>'３-Ⅴ'!I38</f>
        <v>0.11830985915492957</v>
      </c>
      <c r="N30" s="592">
        <f>_xlfn.RANK.EQ(K30,$K$15:$K$32)+COUNTIF($K$15:K30,K30)-1</f>
        <v>11</v>
      </c>
      <c r="O30" s="592">
        <f>_xlfn.RANK.EQ(M30,$M$15:$M$32)+COUNTIF($M$15:M30,M30)-1</f>
        <v>11</v>
      </c>
      <c r="P30" s="9"/>
      <c r="Q30" s="9"/>
      <c r="R30" s="9"/>
      <c r="S30" s="9"/>
      <c r="T30" s="9"/>
      <c r="U30" s="9"/>
    </row>
    <row r="31" spans="9:21" ht="63" customHeight="1" x14ac:dyDescent="0.15">
      <c r="I31" s="593" t="s">
        <v>337</v>
      </c>
      <c r="J31" s="588">
        <f>'２-Ⅵ'!B39</f>
        <v>34</v>
      </c>
      <c r="K31" s="585">
        <f>'２-Ⅵ'!C39</f>
        <v>1.7267648552564754E-2</v>
      </c>
      <c r="L31" s="588">
        <f>'３-Ⅴ'!H39</f>
        <v>8</v>
      </c>
      <c r="M31" s="585">
        <f>'３-Ⅴ'!I39</f>
        <v>2.2535211267605635E-2</v>
      </c>
      <c r="N31" s="592">
        <f>_xlfn.RANK.EQ(K31,$K$15:$K$32)+COUNTIF($K$15:K31,K31)-1</f>
        <v>17</v>
      </c>
      <c r="O31" s="592">
        <f>_xlfn.RANK.EQ(M31,$M$15:$M$32)+COUNTIF($M$15:M31,M31)-1</f>
        <v>17</v>
      </c>
      <c r="P31" s="9"/>
      <c r="Q31" s="9"/>
      <c r="R31" s="9"/>
      <c r="S31" s="9"/>
      <c r="T31" s="9"/>
      <c r="U31" s="9"/>
    </row>
    <row r="32" spans="9:21" ht="63" customHeight="1" x14ac:dyDescent="0.15">
      <c r="I32" s="593" t="s">
        <v>53</v>
      </c>
      <c r="J32" s="588">
        <f>'２-Ⅵ'!B40</f>
        <v>111</v>
      </c>
      <c r="K32" s="585">
        <f>'２-Ⅵ'!C40</f>
        <v>5.6373793803961403E-2</v>
      </c>
      <c r="L32" s="588">
        <f>'３-Ⅴ'!H40</f>
        <v>21</v>
      </c>
      <c r="M32" s="585">
        <f>'３-Ⅴ'!I40</f>
        <v>5.9154929577464786E-2</v>
      </c>
      <c r="N32" s="592">
        <f>_xlfn.RANK.EQ(K32,$K$15:$K$32)+COUNTIF($K$15:K32,K32)-1</f>
        <v>16</v>
      </c>
      <c r="O32" s="592">
        <f>_xlfn.RANK.EQ(M32,$M$15:$M$32)+COUNTIF($M$15:M32,M32)-1</f>
        <v>13</v>
      </c>
      <c r="P32" s="9"/>
      <c r="Q32" s="9"/>
      <c r="R32" s="9"/>
      <c r="S32" s="9"/>
      <c r="T32" s="9"/>
      <c r="U32" s="9"/>
    </row>
  </sheetData>
  <mergeCells count="11">
    <mergeCell ref="Q8:R8"/>
    <mergeCell ref="S8:T8"/>
    <mergeCell ref="J14:K14"/>
    <mergeCell ref="L14:M14"/>
    <mergeCell ref="B2:C2"/>
    <mergeCell ref="J2:K2"/>
    <mergeCell ref="L2:M2"/>
    <mergeCell ref="C3:D3"/>
    <mergeCell ref="E3:F3"/>
    <mergeCell ref="J8:K8"/>
    <mergeCell ref="L8:M8"/>
  </mergeCells>
  <phoneticPr fontId="2"/>
  <pageMargins left="0.25" right="0.27083333333333331" top="0.60606060606060608" bottom="0.51136363636363635" header="0.3" footer="0.3"/>
  <pageSetup paperSize="9" scale="80" orientation="portrait" r:id="rId1"/>
  <rowBreaks count="1" manualBreakCount="1">
    <brk id="9" max="6" man="1"/>
  </rowBreaks>
  <colBreaks count="1" manualBreakCount="1">
    <brk id="8" max="1048575"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249977111117893"/>
  </sheetPr>
  <dimension ref="K3:O65"/>
  <sheetViews>
    <sheetView view="pageBreakPreview" topLeftCell="E1" zoomScale="90" zoomScaleNormal="100" zoomScaleSheetLayoutView="90" workbookViewId="0">
      <selection activeCell="L10" sqref="L10"/>
    </sheetView>
  </sheetViews>
  <sheetFormatPr defaultRowHeight="18" customHeight="1" x14ac:dyDescent="0.15"/>
  <cols>
    <col min="1" max="9" width="9.875" customWidth="1"/>
    <col min="11" max="11" width="34.5" customWidth="1"/>
    <col min="13" max="13" width="11.125" bestFit="1" customWidth="1"/>
  </cols>
  <sheetData>
    <row r="3" spans="11:13" ht="18" customHeight="1" x14ac:dyDescent="0.15">
      <c r="K3" s="461"/>
      <c r="L3" s="461" t="s">
        <v>306</v>
      </c>
      <c r="M3" s="461" t="s">
        <v>307</v>
      </c>
    </row>
    <row r="4" spans="11:13" ht="18" customHeight="1" x14ac:dyDescent="0.15">
      <c r="K4" s="594" t="s">
        <v>355</v>
      </c>
      <c r="L4" s="488">
        <f>'5-Ⅰ①'!D14</f>
        <v>9.906291834002677E-2</v>
      </c>
      <c r="M4" s="488">
        <f>'5-Ⅰ①'!F14</f>
        <v>7.4468085106382975E-2</v>
      </c>
    </row>
    <row r="5" spans="11:13" ht="18" customHeight="1" x14ac:dyDescent="0.15">
      <c r="K5" s="594" t="s">
        <v>224</v>
      </c>
      <c r="L5" s="488">
        <f>'5-Ⅰ①'!D15</f>
        <v>7.2289156626506021E-2</v>
      </c>
      <c r="M5" s="488">
        <f>'5-Ⅰ①'!F15</f>
        <v>5.2373158756137482E-2</v>
      </c>
    </row>
    <row r="6" spans="11:13" ht="18" customHeight="1" x14ac:dyDescent="0.15">
      <c r="K6" s="594" t="s">
        <v>38</v>
      </c>
      <c r="L6" s="488">
        <f>'5-Ⅰ①'!D16</f>
        <v>1.4725568942436412E-2</v>
      </c>
      <c r="M6" s="488">
        <f>'5-Ⅰ①'!F16</f>
        <v>4.9099836333878887E-3</v>
      </c>
    </row>
    <row r="7" spans="11:13" ht="18" customHeight="1" x14ac:dyDescent="0.15">
      <c r="K7" s="594" t="s">
        <v>39</v>
      </c>
      <c r="L7" s="488">
        <f>'5-Ⅰ①'!D17</f>
        <v>9.1030789825970543E-2</v>
      </c>
      <c r="M7" s="488">
        <f>'5-Ⅰ①'!F17</f>
        <v>0.10801963993453355</v>
      </c>
    </row>
    <row r="8" spans="11:13" ht="18" customHeight="1" x14ac:dyDescent="0.15">
      <c r="K8" s="594" t="s">
        <v>40</v>
      </c>
      <c r="L8" s="488">
        <f>'5-Ⅰ①'!D18</f>
        <v>7.2289156626506021E-2</v>
      </c>
      <c r="M8" s="488">
        <f>'5-Ⅰ①'!F18</f>
        <v>7.0376432078559745E-2</v>
      </c>
    </row>
    <row r="9" spans="11:13" ht="18" customHeight="1" x14ac:dyDescent="0.15">
      <c r="K9" s="594" t="s">
        <v>41</v>
      </c>
      <c r="L9" s="488">
        <f>'5-Ⅰ①'!D19</f>
        <v>9.6385542168674704E-2</v>
      </c>
      <c r="M9" s="488">
        <f>'5-Ⅰ①'!F19</f>
        <v>7.6104746317512281E-2</v>
      </c>
    </row>
    <row r="10" spans="11:13" ht="18" customHeight="1" x14ac:dyDescent="0.15">
      <c r="K10" s="594" t="s">
        <v>42</v>
      </c>
      <c r="L10" s="488">
        <f>'5-Ⅰ①'!D20</f>
        <v>1.8741633199464525E-2</v>
      </c>
      <c r="M10" s="488">
        <f>'5-Ⅰ①'!F20</f>
        <v>1.4729950900163666E-2</v>
      </c>
    </row>
    <row r="11" spans="11:13" ht="18" customHeight="1" x14ac:dyDescent="0.15">
      <c r="K11" s="594" t="s">
        <v>43</v>
      </c>
      <c r="L11" s="488">
        <f>'5-Ⅰ①'!D21</f>
        <v>6.4257028112449793E-2</v>
      </c>
      <c r="M11" s="488">
        <f>'5-Ⅰ①'!F21</f>
        <v>5.7283142389525366E-2</v>
      </c>
    </row>
    <row r="12" spans="11:13" ht="18" customHeight="1" x14ac:dyDescent="0.15">
      <c r="K12" s="594" t="s">
        <v>357</v>
      </c>
      <c r="L12" s="488">
        <f>'5-Ⅰ①'!D22</f>
        <v>6.2918340026773767E-2</v>
      </c>
      <c r="M12" s="488">
        <f>'5-Ⅰ①'!F22</f>
        <v>3.927986906710311E-2</v>
      </c>
    </row>
    <row r="13" spans="11:13" ht="18" customHeight="1" x14ac:dyDescent="0.15">
      <c r="K13" s="595" t="s">
        <v>356</v>
      </c>
      <c r="L13" s="488">
        <f>'5-Ⅰ①'!D23</f>
        <v>6.1579651941097727E-2</v>
      </c>
      <c r="M13" s="488">
        <f>'5-Ⅰ①'!F23</f>
        <v>6.137479541734861E-2</v>
      </c>
    </row>
    <row r="14" spans="11:13" ht="18" customHeight="1" x14ac:dyDescent="0.15">
      <c r="K14" s="594" t="s">
        <v>46</v>
      </c>
      <c r="L14" s="488">
        <f>'5-Ⅰ①'!D24</f>
        <v>0.12449799196787148</v>
      </c>
      <c r="M14" s="488">
        <f>'5-Ⅰ①'!F24</f>
        <v>0.11538461538461539</v>
      </c>
    </row>
    <row r="15" spans="11:13" ht="18" customHeight="1" x14ac:dyDescent="0.15">
      <c r="K15" s="594" t="s">
        <v>47</v>
      </c>
      <c r="L15" s="488">
        <f>'5-Ⅰ①'!D25</f>
        <v>1.8741633199464525E-2</v>
      </c>
      <c r="M15" s="488">
        <f>'5-Ⅰ①'!F25</f>
        <v>2.20949263502455E-2</v>
      </c>
    </row>
    <row r="16" spans="11:13" ht="18" customHeight="1" x14ac:dyDescent="0.15">
      <c r="K16" s="594" t="s">
        <v>48</v>
      </c>
      <c r="L16" s="488">
        <f>'5-Ⅰ①'!D26</f>
        <v>1.7402945113788489E-2</v>
      </c>
      <c r="M16" s="488">
        <f>'5-Ⅰ①'!F26</f>
        <v>1.0638297872340425E-2</v>
      </c>
    </row>
    <row r="17" spans="11:13" ht="18" customHeight="1" x14ac:dyDescent="0.15">
      <c r="K17" s="594" t="s">
        <v>49</v>
      </c>
      <c r="L17" s="488">
        <f>'5-Ⅰ①'!D27</f>
        <v>1.3386880856760374E-3</v>
      </c>
      <c r="M17" s="488">
        <f>'5-Ⅰ①'!F27</f>
        <v>1.6366612111292963E-3</v>
      </c>
    </row>
    <row r="18" spans="11:13" ht="18" customHeight="1" x14ac:dyDescent="0.15">
      <c r="K18" s="594" t="s">
        <v>50</v>
      </c>
      <c r="L18" s="488">
        <f>'5-Ⅰ①'!D28</f>
        <v>3.2128514056224897E-2</v>
      </c>
      <c r="M18" s="488">
        <f>'5-Ⅰ①'!F28</f>
        <v>2.9459901800327332E-2</v>
      </c>
    </row>
    <row r="19" spans="11:13" ht="18" customHeight="1" x14ac:dyDescent="0.15">
      <c r="K19" s="594" t="s">
        <v>51</v>
      </c>
      <c r="L19" s="488">
        <f>'5-Ⅰ①'!D29</f>
        <v>4.0160642570281124E-2</v>
      </c>
      <c r="M19" s="488">
        <f>'5-Ⅰ①'!F29</f>
        <v>2.7004909983633387E-2</v>
      </c>
    </row>
    <row r="20" spans="11:13" ht="18" customHeight="1" x14ac:dyDescent="0.15">
      <c r="K20" s="594" t="s">
        <v>337</v>
      </c>
      <c r="L20" s="488">
        <f>'5-Ⅰ①'!D30</f>
        <v>1.3386880856760375E-2</v>
      </c>
      <c r="M20" s="488">
        <f>'5-Ⅰ①'!F30</f>
        <v>1.6366612111292963E-3</v>
      </c>
    </row>
    <row r="21" spans="11:13" ht="18" customHeight="1" x14ac:dyDescent="0.15">
      <c r="K21" s="594" t="s">
        <v>53</v>
      </c>
      <c r="L21" s="488">
        <f>'5-Ⅰ①'!D31</f>
        <v>2.8112449799196786E-2</v>
      </c>
      <c r="M21" s="488">
        <f>'5-Ⅰ①'!F31</f>
        <v>1.3911620294599018E-2</v>
      </c>
    </row>
    <row r="47" spans="11:15" ht="18" customHeight="1" x14ac:dyDescent="0.15">
      <c r="K47" s="1"/>
      <c r="L47" s="489" t="s">
        <v>358</v>
      </c>
      <c r="M47" s="490" t="s">
        <v>359</v>
      </c>
      <c r="N47" s="490" t="s">
        <v>360</v>
      </c>
      <c r="O47" s="489" t="s">
        <v>361</v>
      </c>
    </row>
    <row r="48" spans="11:15" ht="18" customHeight="1" x14ac:dyDescent="0.15">
      <c r="K48" s="491" t="s">
        <v>355</v>
      </c>
      <c r="L48" s="488">
        <f>'５-Ⅰ②'!D14</f>
        <v>0.38347107438016531</v>
      </c>
      <c r="M48" s="488">
        <f>'５-Ⅰ②'!F14</f>
        <v>0.35654596100278552</v>
      </c>
      <c r="N48" s="488">
        <f>'５-Ⅰ②'!H14</f>
        <v>0.36896551724137933</v>
      </c>
      <c r="O48" s="488">
        <f>'５-Ⅰ②'!J14</f>
        <v>0.3848314606741573</v>
      </c>
    </row>
    <row r="49" spans="11:15" ht="18" customHeight="1" x14ac:dyDescent="0.15">
      <c r="K49" s="491" t="s">
        <v>224</v>
      </c>
      <c r="L49" s="488">
        <f>'５-Ⅰ②'!D15</f>
        <v>0.26611570247933886</v>
      </c>
      <c r="M49" s="488">
        <f>'５-Ⅰ②'!F15</f>
        <v>0.27019498607242337</v>
      </c>
      <c r="N49" s="488">
        <f>'５-Ⅰ②'!H15</f>
        <v>0.32758620689655171</v>
      </c>
      <c r="O49" s="488">
        <f>'５-Ⅰ②'!J15</f>
        <v>0.34269662921348315</v>
      </c>
    </row>
    <row r="50" spans="11:15" ht="18" customHeight="1" x14ac:dyDescent="0.15">
      <c r="K50" s="491" t="s">
        <v>38</v>
      </c>
      <c r="L50" s="488">
        <f>'５-Ⅰ②'!D16</f>
        <v>6.2809917355371905E-2</v>
      </c>
      <c r="M50" s="488">
        <f>'５-Ⅰ②'!F16</f>
        <v>5.2924791086350974E-2</v>
      </c>
      <c r="N50" s="488">
        <f>'５-Ⅰ②'!H16</f>
        <v>7.2413793103448282E-2</v>
      </c>
      <c r="O50" s="488">
        <f>'５-Ⅰ②'!J16</f>
        <v>5.6179775280898875E-2</v>
      </c>
    </row>
    <row r="51" spans="11:15" ht="18" customHeight="1" x14ac:dyDescent="0.15">
      <c r="K51" s="491" t="s">
        <v>39</v>
      </c>
      <c r="L51" s="488">
        <f>'５-Ⅰ②'!D17</f>
        <v>0.22148760330578512</v>
      </c>
      <c r="M51" s="488">
        <f>'５-Ⅰ②'!F17</f>
        <v>0.38300835654596099</v>
      </c>
      <c r="N51" s="488">
        <f>'５-Ⅰ②'!H17</f>
        <v>0.4517241379310345</v>
      </c>
      <c r="O51" s="488">
        <f>'５-Ⅰ②'!J17</f>
        <v>0.5252808988764045</v>
      </c>
    </row>
    <row r="52" spans="11:15" ht="18" customHeight="1" x14ac:dyDescent="0.15">
      <c r="K52" s="491" t="s">
        <v>40</v>
      </c>
      <c r="L52" s="488">
        <f>'５-Ⅰ②'!D18</f>
        <v>0.3669421487603306</v>
      </c>
      <c r="M52" s="488">
        <f>'５-Ⅰ②'!F18</f>
        <v>0.40529247910863508</v>
      </c>
      <c r="N52" s="488">
        <f>'５-Ⅰ②'!H18</f>
        <v>0.48275862068965519</v>
      </c>
      <c r="O52" s="488">
        <f>'５-Ⅰ②'!J18</f>
        <v>0.5252808988764045</v>
      </c>
    </row>
    <row r="53" spans="11:15" ht="18" customHeight="1" x14ac:dyDescent="0.15">
      <c r="K53" s="491" t="s">
        <v>41</v>
      </c>
      <c r="L53" s="488">
        <f>'５-Ⅰ②'!D19</f>
        <v>0.23140495867768596</v>
      </c>
      <c r="M53" s="488">
        <f>'５-Ⅰ②'!F19</f>
        <v>0.31058495821727017</v>
      </c>
      <c r="N53" s="488">
        <f>'５-Ⅰ②'!H19</f>
        <v>0.38275862068965516</v>
      </c>
      <c r="O53" s="488">
        <f>'５-Ⅰ②'!J19</f>
        <v>0.3595505617977528</v>
      </c>
    </row>
    <row r="54" spans="11:15" ht="18" customHeight="1" x14ac:dyDescent="0.15">
      <c r="K54" s="491" t="s">
        <v>42</v>
      </c>
      <c r="L54" s="488">
        <f>'５-Ⅰ②'!D20</f>
        <v>8.7603305785123972E-2</v>
      </c>
      <c r="M54" s="488">
        <f>'５-Ⅰ②'!F20</f>
        <v>8.2172701949860719E-2</v>
      </c>
      <c r="N54" s="488">
        <f>'５-Ⅰ②'!H20</f>
        <v>0.10344827586206896</v>
      </c>
      <c r="O54" s="488">
        <f>'５-Ⅰ②'!J20</f>
        <v>0.1151685393258427</v>
      </c>
    </row>
    <row r="55" spans="11:15" ht="18" customHeight="1" x14ac:dyDescent="0.15">
      <c r="K55" s="491" t="s">
        <v>43</v>
      </c>
      <c r="L55" s="488">
        <f>'５-Ⅰ②'!D21</f>
        <v>0.24132231404958679</v>
      </c>
      <c r="M55" s="488">
        <f>'５-Ⅰ②'!F21</f>
        <v>0.3370473537604457</v>
      </c>
      <c r="N55" s="488">
        <f>'５-Ⅰ②'!H21</f>
        <v>0.32758620689655171</v>
      </c>
      <c r="O55" s="488">
        <f>'５-Ⅰ②'!J21</f>
        <v>0.3651685393258427</v>
      </c>
    </row>
    <row r="56" spans="11:15" ht="18" customHeight="1" x14ac:dyDescent="0.15">
      <c r="K56" s="491" t="s">
        <v>357</v>
      </c>
      <c r="L56" s="488">
        <f>'５-Ⅰ②'!D22</f>
        <v>0.15537190082644628</v>
      </c>
      <c r="M56" s="488">
        <f>'５-Ⅰ②'!F22</f>
        <v>0.1713091922005571</v>
      </c>
      <c r="N56" s="488">
        <f>'５-Ⅰ②'!H22</f>
        <v>0.22068965517241379</v>
      </c>
      <c r="O56" s="488">
        <f>'５-Ⅰ②'!J22</f>
        <v>0.24157303370786518</v>
      </c>
    </row>
    <row r="57" spans="11:15" ht="18" customHeight="1" x14ac:dyDescent="0.15">
      <c r="K57" s="492" t="s">
        <v>356</v>
      </c>
      <c r="L57" s="488">
        <f>'５-Ⅰ②'!D23</f>
        <v>0.15041322314049588</v>
      </c>
      <c r="M57" s="488">
        <f>'５-Ⅰ②'!F23</f>
        <v>0.24233983286908078</v>
      </c>
      <c r="N57" s="488">
        <f>'５-Ⅰ②'!H23</f>
        <v>0.28620689655172415</v>
      </c>
      <c r="O57" s="488">
        <f>'５-Ⅰ②'!J23</f>
        <v>0.27247191011235955</v>
      </c>
    </row>
    <row r="58" spans="11:15" ht="18" customHeight="1" x14ac:dyDescent="0.15">
      <c r="K58" s="491" t="s">
        <v>46</v>
      </c>
      <c r="L58" s="488">
        <f>'５-Ⅰ②'!D24</f>
        <v>0.4396694214876033</v>
      </c>
      <c r="M58" s="488">
        <f>'５-Ⅰ②'!F24</f>
        <v>0.38300835654596099</v>
      </c>
      <c r="N58" s="488">
        <f>'５-Ⅰ②'!H24</f>
        <v>0.27241379310344827</v>
      </c>
      <c r="O58" s="488">
        <f>'５-Ⅰ②'!J24</f>
        <v>0.25</v>
      </c>
    </row>
    <row r="59" spans="11:15" ht="18" customHeight="1" x14ac:dyDescent="0.15">
      <c r="K59" s="491" t="s">
        <v>47</v>
      </c>
      <c r="L59" s="488">
        <f>'５-Ⅰ②'!D25</f>
        <v>5.7851239669421489E-2</v>
      </c>
      <c r="M59" s="488">
        <f>'５-Ⅰ②'!F25</f>
        <v>7.5208913649025072E-2</v>
      </c>
      <c r="N59" s="488">
        <f>'５-Ⅰ②'!H25</f>
        <v>5.1724137931034482E-2</v>
      </c>
      <c r="O59" s="488">
        <f>'５-Ⅰ②'!J25</f>
        <v>4.7752808988764044E-2</v>
      </c>
    </row>
    <row r="60" spans="11:15" ht="18" customHeight="1" x14ac:dyDescent="0.15">
      <c r="K60" s="491" t="s">
        <v>48</v>
      </c>
      <c r="L60" s="488">
        <f>'５-Ⅰ②'!D26</f>
        <v>6.4462809917355368E-2</v>
      </c>
      <c r="M60" s="488">
        <f>'５-Ⅰ②'!F26</f>
        <v>4.7353760445682451E-2</v>
      </c>
      <c r="N60" s="488">
        <f>'５-Ⅰ②'!H26</f>
        <v>7.586206896551724E-2</v>
      </c>
      <c r="O60" s="488">
        <f>'５-Ⅰ②'!J26</f>
        <v>6.741573033707865E-2</v>
      </c>
    </row>
    <row r="61" spans="11:15" ht="18" customHeight="1" x14ac:dyDescent="0.15">
      <c r="K61" s="491" t="s">
        <v>49</v>
      </c>
      <c r="L61" s="488">
        <f>'５-Ⅰ②'!D27</f>
        <v>4.9586776859504135E-3</v>
      </c>
      <c r="M61" s="488">
        <f>'５-Ⅰ②'!F27</f>
        <v>2.7855153203342618E-3</v>
      </c>
      <c r="N61" s="488">
        <f>'５-Ⅰ②'!H27</f>
        <v>6.8965517241379309E-3</v>
      </c>
      <c r="O61" s="488">
        <f>'５-Ⅰ②'!J27</f>
        <v>1.1235955056179775E-2</v>
      </c>
    </row>
    <row r="62" spans="11:15" ht="18" customHeight="1" x14ac:dyDescent="0.15">
      <c r="K62" s="491" t="s">
        <v>50</v>
      </c>
      <c r="L62" s="488">
        <f>'５-Ⅰ②'!D28</f>
        <v>8.9256198347107435E-2</v>
      </c>
      <c r="M62" s="488">
        <f>'５-Ⅰ②'!F28</f>
        <v>9.8885793871866301E-2</v>
      </c>
      <c r="N62" s="488">
        <f>'５-Ⅰ②'!H28</f>
        <v>5.8620689655172413E-2</v>
      </c>
      <c r="O62" s="488">
        <f>'５-Ⅰ②'!J28</f>
        <v>6.4606741573033713E-2</v>
      </c>
    </row>
    <row r="63" spans="11:15" ht="18" customHeight="1" x14ac:dyDescent="0.15">
      <c r="K63" s="491" t="s">
        <v>51</v>
      </c>
      <c r="L63" s="488">
        <f>'５-Ⅰ②'!D29</f>
        <v>8.7603305785123972E-2</v>
      </c>
      <c r="M63" s="488">
        <f>'５-Ⅰ②'!F29</f>
        <v>8.9136490250696379E-2</v>
      </c>
      <c r="N63" s="488">
        <f>'５-Ⅰ②'!H29</f>
        <v>9.6551724137931033E-2</v>
      </c>
      <c r="O63" s="488">
        <f>'５-Ⅰ②'!J29</f>
        <v>0.10393258426966293</v>
      </c>
    </row>
    <row r="64" spans="11:15" ht="18" customHeight="1" x14ac:dyDescent="0.15">
      <c r="K64" s="491" t="s">
        <v>337</v>
      </c>
      <c r="L64" s="488">
        <f>'５-Ⅰ②'!D30</f>
        <v>2.1487603305785124E-2</v>
      </c>
      <c r="M64" s="488">
        <f>'５-Ⅰ②'!F30</f>
        <v>1.9498607242339833E-2</v>
      </c>
      <c r="N64" s="488">
        <f>'５-Ⅰ②'!H30</f>
        <v>2.0689655172413793E-2</v>
      </c>
      <c r="O64" s="488">
        <f>'５-Ⅰ②'!J30</f>
        <v>2.8089887640449437E-3</v>
      </c>
    </row>
    <row r="65" spans="11:15" ht="18" customHeight="1" x14ac:dyDescent="0.15">
      <c r="K65" s="491" t="s">
        <v>53</v>
      </c>
      <c r="L65" s="488">
        <f>'５-Ⅰ②'!D31</f>
        <v>7.768595041322314E-2</v>
      </c>
      <c r="M65" s="488">
        <f>'５-Ⅰ②'!F31</f>
        <v>5.5710306406685235E-2</v>
      </c>
      <c r="N65" s="488">
        <f>'５-Ⅰ②'!H31</f>
        <v>5.8620689655172413E-2</v>
      </c>
      <c r="O65" s="488">
        <f>'５-Ⅰ②'!J31</f>
        <v>1.9662921348314606E-2</v>
      </c>
    </row>
  </sheetData>
  <phoneticPr fontId="2"/>
  <pageMargins left="0.7" right="0.7" top="0.75" bottom="0.75" header="0.3" footer="0.3"/>
  <pageSetup paperSize="9" orientation="portrait" r:id="rId1"/>
  <rowBreaks count="1" manualBreakCount="1">
    <brk id="44" max="8"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tint="-0.249977111117893"/>
    <pageSetUpPr fitToPage="1"/>
  </sheetPr>
  <dimension ref="A1:V47"/>
  <sheetViews>
    <sheetView showGridLines="0" topLeftCell="D1" zoomScaleNormal="100" zoomScaleSheetLayoutView="80" workbookViewId="0">
      <selection activeCell="G22" sqref="G22"/>
    </sheetView>
  </sheetViews>
  <sheetFormatPr defaultRowHeight="18.75" x14ac:dyDescent="0.15"/>
  <cols>
    <col min="1" max="1" width="22.75" style="1" bestFit="1" customWidth="1"/>
    <col min="2" max="3" width="9.375" style="1" customWidth="1"/>
    <col min="4" max="4" width="6.625" style="1" customWidth="1"/>
    <col min="5" max="5" width="22.75" style="1" bestFit="1" customWidth="1"/>
    <col min="6" max="9" width="9.375" style="1" customWidth="1"/>
    <col min="10" max="10" width="9" style="1"/>
    <col min="11" max="11" width="18.75" style="1" hidden="1" customWidth="1"/>
    <col min="12" max="12" width="10.25" style="1" hidden="1" customWidth="1"/>
    <col min="13" max="13" width="9" style="1" hidden="1" customWidth="1"/>
    <col min="14" max="14" width="19.625" style="1" hidden="1" customWidth="1"/>
    <col min="15" max="15" width="9" style="1" hidden="1" customWidth="1"/>
    <col min="16" max="16" width="19.625" style="1" hidden="1" customWidth="1"/>
    <col min="17" max="17" width="10.25" style="1" hidden="1" customWidth="1"/>
    <col min="18" max="19" width="9" style="1" hidden="1" customWidth="1"/>
    <col min="20" max="20" width="20.125" style="1" hidden="1" customWidth="1"/>
    <col min="21" max="22" width="9" style="1" hidden="1" customWidth="1"/>
    <col min="23" max="16384" width="9" style="1"/>
  </cols>
  <sheetData>
    <row r="1" spans="1:20" s="3" customFormat="1" ht="19.5" x14ac:dyDescent="0.15">
      <c r="A1" s="2" t="s">
        <v>124</v>
      </c>
    </row>
    <row r="2" spans="1:20" x14ac:dyDescent="0.15">
      <c r="A2" s="4"/>
      <c r="K2" s="56" t="s">
        <v>63</v>
      </c>
    </row>
    <row r="3" spans="1:20" s="3" customFormat="1" ht="20.25" thickBot="1" x14ac:dyDescent="0.2">
      <c r="A3" s="4" t="s">
        <v>13</v>
      </c>
      <c r="E3" s="4" t="s">
        <v>125</v>
      </c>
      <c r="F3" s="4"/>
      <c r="G3" s="4"/>
      <c r="K3" s="428" t="s">
        <v>299</v>
      </c>
      <c r="L3" s="494" t="s">
        <v>278</v>
      </c>
      <c r="N3" s="387" t="s">
        <v>299</v>
      </c>
      <c r="O3" s="494" t="s">
        <v>276</v>
      </c>
      <c r="P3" s="387" t="s">
        <v>299</v>
      </c>
      <c r="Q3" s="494" t="s">
        <v>277</v>
      </c>
    </row>
    <row r="4" spans="1:20" ht="20.25" thickTop="1" thickBot="1" x14ac:dyDescent="0.2">
      <c r="A4" s="258"/>
      <c r="B4" s="258" t="s">
        <v>0</v>
      </c>
      <c r="C4" s="258" t="s">
        <v>1</v>
      </c>
      <c r="E4" s="258"/>
      <c r="F4" s="258" t="s">
        <v>126</v>
      </c>
      <c r="G4" s="305" t="s">
        <v>127</v>
      </c>
      <c r="H4" s="258" t="s">
        <v>12</v>
      </c>
      <c r="I4" s="258" t="s">
        <v>1</v>
      </c>
      <c r="K4" s="499" t="s">
        <v>370</v>
      </c>
      <c r="L4" s="35" t="s">
        <v>584</v>
      </c>
      <c r="N4" s="499" t="s">
        <v>370</v>
      </c>
      <c r="O4" s="35" t="s">
        <v>584</v>
      </c>
      <c r="P4" s="499" t="s">
        <v>370</v>
      </c>
      <c r="Q4" s="35" t="s">
        <v>584</v>
      </c>
    </row>
    <row r="5" spans="1:20" ht="19.5" thickTop="1" x14ac:dyDescent="0.15">
      <c r="A5" s="298" t="s">
        <v>128</v>
      </c>
      <c r="B5" s="261">
        <f>IFERROR(VLOOKUP($T5,在院期間[#All],2,FALSE),0)</f>
        <v>1704</v>
      </c>
      <c r="C5" s="300">
        <f>IFERROR(B5/B$21,"-")</f>
        <v>0.11171572805349768</v>
      </c>
      <c r="E5" s="298" t="s">
        <v>128</v>
      </c>
      <c r="F5" s="261">
        <f>IFERROR(VLOOKUP($T5,在院期間＿寛解[#All],2,FALSE),0)</f>
        <v>103</v>
      </c>
      <c r="G5" s="261">
        <f>IFERROR(VLOOKUP($T5,在院期間＿院内寛解[#All],2,FALSE),0)</f>
        <v>283</v>
      </c>
      <c r="H5" s="259">
        <f>SUM(F5:G5)</f>
        <v>386</v>
      </c>
      <c r="I5" s="300">
        <f>IFERROR(H5/H$21,"-")</f>
        <v>0.21857304643261607</v>
      </c>
      <c r="K5" s="43" t="s">
        <v>182</v>
      </c>
      <c r="L5" s="60">
        <v>1704</v>
      </c>
      <c r="N5" s="43" t="s">
        <v>182</v>
      </c>
      <c r="O5" s="60">
        <v>103</v>
      </c>
      <c r="P5" s="43" t="s">
        <v>182</v>
      </c>
      <c r="Q5" s="60">
        <v>283</v>
      </c>
      <c r="T5" s="406" t="s">
        <v>182</v>
      </c>
    </row>
    <row r="6" spans="1:20" x14ac:dyDescent="0.15">
      <c r="A6" s="298" t="s">
        <v>129</v>
      </c>
      <c r="B6" s="261">
        <f>IFERROR(VLOOKUP($T6,在院期間[#All],2,FALSE),0)</f>
        <v>1813</v>
      </c>
      <c r="C6" s="300">
        <f t="shared" ref="C6:C20" si="0">IFERROR(B6/B$21,"-")</f>
        <v>0.11886186324001835</v>
      </c>
      <c r="E6" s="298" t="s">
        <v>130</v>
      </c>
      <c r="F6" s="261">
        <f>IFERROR(VLOOKUP($T6,在院期間＿寛解[#All],2,FALSE),0)</f>
        <v>117</v>
      </c>
      <c r="G6" s="261">
        <f>IFERROR(VLOOKUP($T6,在院期間＿院内寛解[#All],2,FALSE),0)</f>
        <v>362</v>
      </c>
      <c r="H6" s="259">
        <f t="shared" ref="H6:H20" si="1">SUM(F6:G6)</f>
        <v>479</v>
      </c>
      <c r="I6" s="300">
        <f t="shared" ref="I6:I20" si="2">IFERROR(H6/H$21,"-")</f>
        <v>0.27123442808607023</v>
      </c>
      <c r="K6" s="43" t="s">
        <v>183</v>
      </c>
      <c r="L6" s="60">
        <v>1813</v>
      </c>
      <c r="N6" s="43" t="s">
        <v>183</v>
      </c>
      <c r="O6" s="399">
        <v>117</v>
      </c>
      <c r="P6" s="408" t="s">
        <v>183</v>
      </c>
      <c r="Q6" s="130">
        <v>362</v>
      </c>
      <c r="T6" s="406" t="s">
        <v>183</v>
      </c>
    </row>
    <row r="7" spans="1:20" x14ac:dyDescent="0.15">
      <c r="A7" s="298" t="s">
        <v>131</v>
      </c>
      <c r="B7" s="261">
        <f>IFERROR(VLOOKUP($T7,在院期間[#All],2,FALSE),0)</f>
        <v>1240</v>
      </c>
      <c r="C7" s="300">
        <f t="shared" si="0"/>
        <v>8.1295482855831644E-2</v>
      </c>
      <c r="E7" s="298" t="s">
        <v>131</v>
      </c>
      <c r="F7" s="261">
        <f>IFERROR(VLOOKUP($T7,在院期間＿寛解[#All],2,FALSE),0)</f>
        <v>47</v>
      </c>
      <c r="G7" s="261">
        <f>IFERROR(VLOOKUP($T7,在院期間＿院内寛解[#All],2,FALSE),0)</f>
        <v>154</v>
      </c>
      <c r="H7" s="259">
        <f t="shared" si="1"/>
        <v>201</v>
      </c>
      <c r="I7" s="300">
        <f t="shared" si="2"/>
        <v>0.11381653454133635</v>
      </c>
      <c r="K7" s="43" t="s">
        <v>184</v>
      </c>
      <c r="L7" s="60">
        <v>1240</v>
      </c>
      <c r="N7" s="43" t="s">
        <v>184</v>
      </c>
      <c r="O7" s="399">
        <v>47</v>
      </c>
      <c r="P7" s="408" t="s">
        <v>184</v>
      </c>
      <c r="Q7" s="130">
        <v>154</v>
      </c>
      <c r="T7" s="407" t="s">
        <v>184</v>
      </c>
    </row>
    <row r="8" spans="1:20" x14ac:dyDescent="0.15">
      <c r="A8" s="298" t="s">
        <v>132</v>
      </c>
      <c r="B8" s="261">
        <f>IFERROR(VLOOKUP($T8,在院期間[#All],2,FALSE),0)</f>
        <v>1434</v>
      </c>
      <c r="C8" s="300">
        <f t="shared" si="0"/>
        <v>9.4014292270373043E-2</v>
      </c>
      <c r="E8" s="298" t="s">
        <v>132</v>
      </c>
      <c r="F8" s="261">
        <f>IFERROR(VLOOKUP($T8,在院期間＿寛解[#All],2,FALSE),0)</f>
        <v>20</v>
      </c>
      <c r="G8" s="261">
        <f>IFERROR(VLOOKUP($T8,在院期間＿院内寛解[#All],2,FALSE),0)</f>
        <v>127</v>
      </c>
      <c r="H8" s="259">
        <f t="shared" si="1"/>
        <v>147</v>
      </c>
      <c r="I8" s="300">
        <f t="shared" si="2"/>
        <v>8.3238958097395246E-2</v>
      </c>
      <c r="K8" s="43" t="s">
        <v>185</v>
      </c>
      <c r="L8" s="60">
        <v>1434</v>
      </c>
      <c r="N8" s="43" t="s">
        <v>185</v>
      </c>
      <c r="O8" s="399">
        <v>20</v>
      </c>
      <c r="P8" s="408" t="s">
        <v>185</v>
      </c>
      <c r="Q8" s="130">
        <v>127</v>
      </c>
      <c r="T8" s="406" t="s">
        <v>185</v>
      </c>
    </row>
    <row r="9" spans="1:20" x14ac:dyDescent="0.15">
      <c r="A9" s="298" t="s">
        <v>133</v>
      </c>
      <c r="B9" s="261">
        <f>IFERROR(VLOOKUP($T9,在院期間[#All],2,FALSE),0)</f>
        <v>1008</v>
      </c>
      <c r="C9" s="300">
        <f t="shared" si="0"/>
        <v>6.6085360256998626E-2</v>
      </c>
      <c r="E9" s="298" t="s">
        <v>133</v>
      </c>
      <c r="F9" s="261">
        <f>IFERROR(VLOOKUP($T9,在院期間＿寛解[#All],2,FALSE),0)</f>
        <v>15</v>
      </c>
      <c r="G9" s="261">
        <f>IFERROR(VLOOKUP($T9,在院期間＿院内寛解[#All],2,FALSE),0)</f>
        <v>63</v>
      </c>
      <c r="H9" s="259">
        <f t="shared" si="1"/>
        <v>78</v>
      </c>
      <c r="I9" s="300">
        <f t="shared" si="2"/>
        <v>4.4167610419026046E-2</v>
      </c>
      <c r="K9" s="43" t="s">
        <v>186</v>
      </c>
      <c r="L9" s="60">
        <v>1008</v>
      </c>
      <c r="N9" s="43" t="s">
        <v>186</v>
      </c>
      <c r="O9" s="399">
        <v>15</v>
      </c>
      <c r="P9" s="408" t="s">
        <v>186</v>
      </c>
      <c r="Q9" s="130">
        <v>63</v>
      </c>
      <c r="T9" s="407" t="s">
        <v>186</v>
      </c>
    </row>
    <row r="10" spans="1:20" x14ac:dyDescent="0.15">
      <c r="A10" s="298" t="s">
        <v>134</v>
      </c>
      <c r="B10" s="261">
        <f>IFERROR(VLOOKUP($T10,在院期間[#All],2,FALSE),0)</f>
        <v>863</v>
      </c>
      <c r="C10" s="300">
        <f t="shared" si="0"/>
        <v>5.6579033632727989E-2</v>
      </c>
      <c r="E10" s="298" t="s">
        <v>134</v>
      </c>
      <c r="F10" s="261">
        <f>IFERROR(VLOOKUP($T10,在院期間＿寛解[#All],2,FALSE),0)</f>
        <v>7</v>
      </c>
      <c r="G10" s="261">
        <f>IFERROR(VLOOKUP($T10,在院期間＿院内寛解[#All],2,FALSE),0)</f>
        <v>60</v>
      </c>
      <c r="H10" s="259">
        <f t="shared" si="1"/>
        <v>67</v>
      </c>
      <c r="I10" s="300">
        <f t="shared" si="2"/>
        <v>3.7938844847112116E-2</v>
      </c>
      <c r="K10" s="43" t="s">
        <v>187</v>
      </c>
      <c r="L10" s="60">
        <v>863</v>
      </c>
      <c r="N10" s="43" t="s">
        <v>187</v>
      </c>
      <c r="O10" s="399">
        <v>7</v>
      </c>
      <c r="P10" s="408" t="s">
        <v>187</v>
      </c>
      <c r="Q10" s="130">
        <v>60</v>
      </c>
      <c r="T10" s="406" t="s">
        <v>187</v>
      </c>
    </row>
    <row r="11" spans="1:20" x14ac:dyDescent="0.15">
      <c r="A11" s="298" t="s">
        <v>135</v>
      </c>
      <c r="B11" s="261">
        <f>IFERROR(VLOOKUP($T11,在院期間[#All],2,FALSE),0)</f>
        <v>1271</v>
      </c>
      <c r="C11" s="300">
        <f t="shared" si="0"/>
        <v>8.3327869927227433E-2</v>
      </c>
      <c r="E11" s="298" t="s">
        <v>26</v>
      </c>
      <c r="F11" s="261">
        <f>IFERROR(VLOOKUP($T11,在院期間＿寛解[#All],2,FALSE),0)</f>
        <v>9</v>
      </c>
      <c r="G11" s="261">
        <f>IFERROR(VLOOKUP($T11,在院期間＿院内寛解[#All],2,FALSE),0)</f>
        <v>93</v>
      </c>
      <c r="H11" s="259">
        <f t="shared" si="1"/>
        <v>102</v>
      </c>
      <c r="I11" s="300">
        <f t="shared" si="2"/>
        <v>5.7757644394110984E-2</v>
      </c>
      <c r="K11" s="43" t="s">
        <v>188</v>
      </c>
      <c r="L11" s="60">
        <v>1271</v>
      </c>
      <c r="N11" s="43" t="s">
        <v>188</v>
      </c>
      <c r="O11" s="399">
        <v>9</v>
      </c>
      <c r="P11" s="408" t="s">
        <v>188</v>
      </c>
      <c r="Q11" s="130">
        <v>93</v>
      </c>
      <c r="T11" s="407" t="s">
        <v>188</v>
      </c>
    </row>
    <row r="12" spans="1:20" x14ac:dyDescent="0.15">
      <c r="A12" s="298" t="s">
        <v>27</v>
      </c>
      <c r="B12" s="261">
        <f>IFERROR(VLOOKUP($T12,在院期間[#All],2,FALSE),0)</f>
        <v>1008</v>
      </c>
      <c r="C12" s="300">
        <f t="shared" si="0"/>
        <v>6.6085360256998626E-2</v>
      </c>
      <c r="E12" s="298" t="s">
        <v>27</v>
      </c>
      <c r="F12" s="261">
        <f>IFERROR(VLOOKUP($T12,在院期間＿寛解[#All],2,FALSE),0)</f>
        <v>6</v>
      </c>
      <c r="G12" s="261">
        <f>IFERROR(VLOOKUP($T12,在院期間＿院内寛解[#All],2,FALSE),0)</f>
        <v>54</v>
      </c>
      <c r="H12" s="259">
        <f t="shared" si="1"/>
        <v>60</v>
      </c>
      <c r="I12" s="300">
        <f t="shared" si="2"/>
        <v>3.3975084937712341E-2</v>
      </c>
      <c r="K12" s="43" t="s">
        <v>189</v>
      </c>
      <c r="L12" s="60">
        <v>1008</v>
      </c>
      <c r="N12" s="43" t="s">
        <v>189</v>
      </c>
      <c r="O12" s="399">
        <v>6</v>
      </c>
      <c r="P12" s="408" t="s">
        <v>189</v>
      </c>
      <c r="Q12" s="130">
        <v>54</v>
      </c>
      <c r="T12" s="406" t="s">
        <v>189</v>
      </c>
    </row>
    <row r="13" spans="1:20" x14ac:dyDescent="0.15">
      <c r="A13" s="298" t="s">
        <v>136</v>
      </c>
      <c r="B13" s="261">
        <f>IFERROR(VLOOKUP($T13,在院期間[#All],2,FALSE),0)</f>
        <v>731</v>
      </c>
      <c r="C13" s="300">
        <f t="shared" si="0"/>
        <v>4.7924998360978167E-2</v>
      </c>
      <c r="E13" s="298" t="s">
        <v>136</v>
      </c>
      <c r="F13" s="261">
        <f>IFERROR(VLOOKUP($T13,在院期間＿寛解[#All],2,FALSE),0)</f>
        <v>2</v>
      </c>
      <c r="G13" s="261">
        <f>IFERROR(VLOOKUP($T13,在院期間＿院内寛解[#All],2,FALSE),0)</f>
        <v>30</v>
      </c>
      <c r="H13" s="259">
        <f t="shared" si="1"/>
        <v>32</v>
      </c>
      <c r="I13" s="300">
        <f t="shared" si="2"/>
        <v>1.8120045300113252E-2</v>
      </c>
      <c r="K13" s="43" t="s">
        <v>190</v>
      </c>
      <c r="L13" s="60">
        <v>731</v>
      </c>
      <c r="N13" s="43" t="s">
        <v>190</v>
      </c>
      <c r="O13" s="399">
        <v>2</v>
      </c>
      <c r="P13" s="408" t="s">
        <v>190</v>
      </c>
      <c r="Q13" s="130">
        <v>30</v>
      </c>
      <c r="T13" s="407" t="s">
        <v>190</v>
      </c>
    </row>
    <row r="14" spans="1:20" x14ac:dyDescent="0.15">
      <c r="A14" s="298" t="s">
        <v>137</v>
      </c>
      <c r="B14" s="261">
        <f>IFERROR(VLOOKUP($T14,在院期間[#All],2,FALSE),0)</f>
        <v>498</v>
      </c>
      <c r="C14" s="300">
        <f t="shared" si="0"/>
        <v>3.264931488887432E-2</v>
      </c>
      <c r="E14" s="298" t="s">
        <v>137</v>
      </c>
      <c r="F14" s="261">
        <f>IFERROR(VLOOKUP($T14,在院期間＿寛解[#All],2,FALSE),0)</f>
        <v>1</v>
      </c>
      <c r="G14" s="261">
        <f>IFERROR(VLOOKUP($T14,在院期間＿院内寛解[#All],2,FALSE),0)</f>
        <v>22</v>
      </c>
      <c r="H14" s="259">
        <f t="shared" si="1"/>
        <v>23</v>
      </c>
      <c r="I14" s="300">
        <f t="shared" si="2"/>
        <v>1.3023782559456399E-2</v>
      </c>
      <c r="K14" s="43" t="s">
        <v>191</v>
      </c>
      <c r="L14" s="60">
        <v>498</v>
      </c>
      <c r="N14" s="43" t="s">
        <v>191</v>
      </c>
      <c r="O14" s="399">
        <v>1</v>
      </c>
      <c r="P14" s="408" t="s">
        <v>191</v>
      </c>
      <c r="Q14" s="130">
        <v>22</v>
      </c>
      <c r="T14" s="406" t="s">
        <v>191</v>
      </c>
    </row>
    <row r="15" spans="1:20" x14ac:dyDescent="0.15">
      <c r="A15" s="298" t="s">
        <v>138</v>
      </c>
      <c r="B15" s="261">
        <f>IFERROR(VLOOKUP($T15,在院期間[#All],2,FALSE),0)</f>
        <v>437</v>
      </c>
      <c r="C15" s="300">
        <f t="shared" si="0"/>
        <v>2.8650101619353569E-2</v>
      </c>
      <c r="E15" s="298" t="s">
        <v>138</v>
      </c>
      <c r="F15" s="261">
        <f>IFERROR(VLOOKUP($T15,在院期間＿寛解[#All],2,FALSE),0)</f>
        <v>0</v>
      </c>
      <c r="G15" s="261">
        <f>IFERROR(VLOOKUP($T15,在院期間＿院内寛解[#All],2,FALSE),0)</f>
        <v>29</v>
      </c>
      <c r="H15" s="259">
        <f t="shared" si="1"/>
        <v>29</v>
      </c>
      <c r="I15" s="300">
        <f t="shared" si="2"/>
        <v>1.6421291053227632E-2</v>
      </c>
      <c r="K15" s="43" t="s">
        <v>192</v>
      </c>
      <c r="L15" s="60">
        <v>437</v>
      </c>
      <c r="N15" s="43" t="s">
        <v>193</v>
      </c>
      <c r="O15" s="399">
        <v>3</v>
      </c>
      <c r="P15" s="408" t="s">
        <v>192</v>
      </c>
      <c r="Q15" s="130">
        <v>29</v>
      </c>
      <c r="T15" s="407" t="s">
        <v>192</v>
      </c>
    </row>
    <row r="16" spans="1:20" x14ac:dyDescent="0.15">
      <c r="A16" s="298" t="s">
        <v>139</v>
      </c>
      <c r="B16" s="261">
        <f>IFERROR(VLOOKUP($T16,在院期間[#All],2,FALSE),0)</f>
        <v>385</v>
      </c>
      <c r="C16" s="300">
        <f t="shared" si="0"/>
        <v>2.5240936209270308E-2</v>
      </c>
      <c r="E16" s="298" t="s">
        <v>139</v>
      </c>
      <c r="F16" s="261">
        <f>IFERROR(VLOOKUP($T16,在院期間＿寛解[#All],2,FALSE),0)</f>
        <v>3</v>
      </c>
      <c r="G16" s="261">
        <f>IFERROR(VLOOKUP($T16,在院期間＿院内寛解[#All],2,FALSE),0)</f>
        <v>17</v>
      </c>
      <c r="H16" s="259">
        <f t="shared" si="1"/>
        <v>20</v>
      </c>
      <c r="I16" s="300">
        <f t="shared" si="2"/>
        <v>1.1325028312570781E-2</v>
      </c>
      <c r="K16" s="43" t="s">
        <v>193</v>
      </c>
      <c r="L16" s="60">
        <v>385</v>
      </c>
      <c r="N16" s="43" t="s">
        <v>194</v>
      </c>
      <c r="O16" s="399">
        <v>3</v>
      </c>
      <c r="P16" s="408" t="s">
        <v>193</v>
      </c>
      <c r="Q16" s="130">
        <v>17</v>
      </c>
      <c r="T16" s="406" t="s">
        <v>193</v>
      </c>
    </row>
    <row r="17" spans="1:20" x14ac:dyDescent="0.15">
      <c r="A17" s="298" t="s">
        <v>140</v>
      </c>
      <c r="B17" s="261">
        <f>IFERROR(VLOOKUP($T17,在院期間[#All],2,FALSE),0)</f>
        <v>306</v>
      </c>
      <c r="C17" s="300">
        <f t="shared" si="0"/>
        <v>2.0061627220874581E-2</v>
      </c>
      <c r="E17" s="298" t="s">
        <v>140</v>
      </c>
      <c r="F17" s="261">
        <f>IFERROR(VLOOKUP($T17,在院期間＿寛解[#All],2,FALSE),0)</f>
        <v>3</v>
      </c>
      <c r="G17" s="261">
        <f>IFERROR(VLOOKUP($T17,在院期間＿院内寛解[#All],2,FALSE),0)</f>
        <v>13</v>
      </c>
      <c r="H17" s="259">
        <f t="shared" si="1"/>
        <v>16</v>
      </c>
      <c r="I17" s="300">
        <f t="shared" si="2"/>
        <v>9.0600226500566258E-3</v>
      </c>
      <c r="K17" s="43" t="s">
        <v>194</v>
      </c>
      <c r="L17" s="60">
        <v>306</v>
      </c>
      <c r="N17" s="43" t="s">
        <v>195</v>
      </c>
      <c r="O17" s="399">
        <v>2</v>
      </c>
      <c r="P17" s="408" t="s">
        <v>194</v>
      </c>
      <c r="Q17" s="130">
        <v>13</v>
      </c>
      <c r="T17" s="407" t="s">
        <v>194</v>
      </c>
    </row>
    <row r="18" spans="1:20" x14ac:dyDescent="0.15">
      <c r="A18" s="298" t="s">
        <v>141</v>
      </c>
      <c r="B18" s="261">
        <f>IFERROR(VLOOKUP($T18,在院期間[#All],2,FALSE),0)</f>
        <v>286</v>
      </c>
      <c r="C18" s="300">
        <f t="shared" si="0"/>
        <v>1.8750409755457942E-2</v>
      </c>
      <c r="E18" s="298" t="s">
        <v>141</v>
      </c>
      <c r="F18" s="261">
        <f>IFERROR(VLOOKUP($T18,在院期間＿寛解[#All],2,FALSE),0)</f>
        <v>2</v>
      </c>
      <c r="G18" s="261">
        <f>IFERROR(VLOOKUP($T18,在院期間＿院内寛解[#All],2,FALSE),0)</f>
        <v>22</v>
      </c>
      <c r="H18" s="259">
        <f t="shared" si="1"/>
        <v>24</v>
      </c>
      <c r="I18" s="300">
        <f t="shared" si="2"/>
        <v>1.3590033975084938E-2</v>
      </c>
      <c r="K18" s="43" t="s">
        <v>195</v>
      </c>
      <c r="L18" s="60">
        <v>286</v>
      </c>
      <c r="N18" s="43" t="s">
        <v>196</v>
      </c>
      <c r="O18" s="399">
        <v>4</v>
      </c>
      <c r="P18" s="408" t="s">
        <v>195</v>
      </c>
      <c r="Q18" s="130">
        <v>22</v>
      </c>
      <c r="T18" s="406" t="s">
        <v>195</v>
      </c>
    </row>
    <row r="19" spans="1:20" x14ac:dyDescent="0.15">
      <c r="A19" s="298" t="s">
        <v>142</v>
      </c>
      <c r="B19" s="261">
        <f>IFERROR(VLOOKUP($T19,在院期間[#All],2,FALSE),0)</f>
        <v>1413</v>
      </c>
      <c r="C19" s="300">
        <f t="shared" si="0"/>
        <v>9.2637513931685567E-2</v>
      </c>
      <c r="E19" s="298" t="s">
        <v>142</v>
      </c>
      <c r="F19" s="261">
        <f>IFERROR(VLOOKUP($T19,在院期間＿寛解[#All],2,FALSE),0)</f>
        <v>4</v>
      </c>
      <c r="G19" s="261">
        <f>IFERROR(VLOOKUP($T19,在院期間＿院内寛解[#All],2,FALSE),0)</f>
        <v>66</v>
      </c>
      <c r="H19" s="259">
        <f t="shared" si="1"/>
        <v>70</v>
      </c>
      <c r="I19" s="300">
        <f t="shared" si="2"/>
        <v>3.9637599093997736E-2</v>
      </c>
      <c r="K19" s="43" t="s">
        <v>196</v>
      </c>
      <c r="L19" s="60">
        <v>1413</v>
      </c>
      <c r="N19" s="43" t="s">
        <v>262</v>
      </c>
      <c r="O19" s="399">
        <v>339</v>
      </c>
      <c r="P19" s="408" t="s">
        <v>196</v>
      </c>
      <c r="Q19" s="130">
        <v>66</v>
      </c>
      <c r="T19" s="407" t="s">
        <v>196</v>
      </c>
    </row>
    <row r="20" spans="1:20" x14ac:dyDescent="0.15">
      <c r="A20" s="298" t="s">
        <v>143</v>
      </c>
      <c r="B20" s="261">
        <f>IFERROR(VLOOKUP($T20,在院期間[#All],2,FALSE),0)</f>
        <v>856</v>
      </c>
      <c r="C20" s="300">
        <f t="shared" si="0"/>
        <v>5.6120107519832166E-2</v>
      </c>
      <c r="E20" s="298" t="s">
        <v>143</v>
      </c>
      <c r="F20" s="261">
        <f>IFERROR(VLOOKUP($T20,在院期間＿寛解[#All],2,FALSE),0)</f>
        <v>0</v>
      </c>
      <c r="G20" s="261">
        <f>IFERROR(VLOOKUP($T20,在院期間＿院内寛解[#All],2,FALSE),0)</f>
        <v>32</v>
      </c>
      <c r="H20" s="259">
        <f t="shared" si="1"/>
        <v>32</v>
      </c>
      <c r="I20" s="300">
        <f t="shared" si="2"/>
        <v>1.8120045300113252E-2</v>
      </c>
      <c r="K20" s="43" t="s">
        <v>197</v>
      </c>
      <c r="L20" s="60">
        <v>856</v>
      </c>
      <c r="N20" s="43"/>
      <c r="O20" s="399"/>
      <c r="P20" s="408" t="s">
        <v>197</v>
      </c>
      <c r="Q20" s="130">
        <v>32</v>
      </c>
      <c r="T20" s="406" t="s">
        <v>197</v>
      </c>
    </row>
    <row r="21" spans="1:20" x14ac:dyDescent="0.15">
      <c r="A21" s="301" t="s">
        <v>11</v>
      </c>
      <c r="B21" s="262">
        <f>SUM(B5:B20)</f>
        <v>15253</v>
      </c>
      <c r="C21" s="263">
        <f>SUM(C5:C20)</f>
        <v>1</v>
      </c>
      <c r="E21" s="301" t="s">
        <v>11</v>
      </c>
      <c r="F21" s="262">
        <f>SUM(F5:F20)</f>
        <v>339</v>
      </c>
      <c r="G21" s="262">
        <f>SUM(G5:G20)</f>
        <v>1427</v>
      </c>
      <c r="H21" s="262">
        <f>SUM(H5:H20)</f>
        <v>1766</v>
      </c>
      <c r="I21" s="263">
        <f>SUM(I5:I20)</f>
        <v>1.0000000000000002</v>
      </c>
    </row>
    <row r="22" spans="1:20" x14ac:dyDescent="0.15">
      <c r="A22" s="298" t="s">
        <v>56</v>
      </c>
      <c r="B22" s="259">
        <f>SUM(B5:B8)</f>
        <v>6191</v>
      </c>
      <c r="C22" s="300">
        <f t="shared" ref="C22:C25" si="3">IFERROR(B22/B$21,"-")</f>
        <v>0.40588736641972073</v>
      </c>
      <c r="E22" s="298" t="s">
        <v>56</v>
      </c>
      <c r="F22" s="259">
        <f>SUM(F5:F8)</f>
        <v>287</v>
      </c>
      <c r="G22" s="259">
        <f>SUM(G5:G8)</f>
        <v>926</v>
      </c>
      <c r="H22" s="259">
        <f>SUM(H5:H8)</f>
        <v>1213</v>
      </c>
      <c r="I22" s="300">
        <f t="shared" ref="I22:I25" si="4">IFERROR(H22/H$21,"-")</f>
        <v>0.6868629671574179</v>
      </c>
      <c r="K22" s="381"/>
      <c r="L22" s="22"/>
      <c r="M22" s="22"/>
      <c r="N22" s="381"/>
      <c r="O22" s="22"/>
      <c r="P22" s="22"/>
      <c r="Q22" s="22"/>
    </row>
    <row r="23" spans="1:20" x14ac:dyDescent="0.15">
      <c r="A23" s="298" t="s">
        <v>57</v>
      </c>
      <c r="B23" s="259">
        <f>SUM(B9:B13)</f>
        <v>4881</v>
      </c>
      <c r="C23" s="300">
        <f t="shared" si="3"/>
        <v>0.32000262243493083</v>
      </c>
      <c r="E23" s="298" t="s">
        <v>57</v>
      </c>
      <c r="F23" s="259">
        <f>SUM(F9:F13)</f>
        <v>39</v>
      </c>
      <c r="G23" s="259">
        <f>SUM(G9:G13)</f>
        <v>300</v>
      </c>
      <c r="H23" s="259">
        <f>SUM(H9:H13)</f>
        <v>339</v>
      </c>
      <c r="I23" s="300">
        <f t="shared" si="4"/>
        <v>0.19195922989807473</v>
      </c>
      <c r="K23" s="382"/>
      <c r="L23" s="22"/>
      <c r="M23" s="22"/>
      <c r="N23" s="382"/>
      <c r="O23" s="22"/>
      <c r="P23" s="22"/>
      <c r="Q23" s="22"/>
    </row>
    <row r="24" spans="1:20" x14ac:dyDescent="0.15">
      <c r="A24" s="298" t="s">
        <v>58</v>
      </c>
      <c r="B24" s="259">
        <f>SUM(B14:B18)</f>
        <v>1912</v>
      </c>
      <c r="C24" s="300">
        <f t="shared" si="3"/>
        <v>0.12535238969383072</v>
      </c>
      <c r="E24" s="298" t="s">
        <v>58</v>
      </c>
      <c r="F24" s="259">
        <f>SUM(F14:F18)</f>
        <v>9</v>
      </c>
      <c r="G24" s="259">
        <f>SUM(G14:G18)</f>
        <v>103</v>
      </c>
      <c r="H24" s="259">
        <f>SUM(H14:H18)</f>
        <v>112</v>
      </c>
      <c r="I24" s="300">
        <f t="shared" si="4"/>
        <v>6.3420158550396372E-2</v>
      </c>
      <c r="K24" s="382"/>
      <c r="L24" s="22"/>
      <c r="M24" s="22"/>
      <c r="N24" s="382"/>
      <c r="O24" s="22"/>
      <c r="P24" s="22"/>
      <c r="Q24" s="22"/>
    </row>
    <row r="25" spans="1:20" x14ac:dyDescent="0.15">
      <c r="A25" s="298" t="s">
        <v>59</v>
      </c>
      <c r="B25" s="259">
        <f>SUM(B19:B20)</f>
        <v>2269</v>
      </c>
      <c r="C25" s="300">
        <f t="shared" si="3"/>
        <v>0.14875762145151775</v>
      </c>
      <c r="E25" s="298" t="s">
        <v>59</v>
      </c>
      <c r="F25" s="259">
        <f>SUM(F19:F20)</f>
        <v>4</v>
      </c>
      <c r="G25" s="259">
        <f>SUM(G19:G20)</f>
        <v>98</v>
      </c>
      <c r="H25" s="259">
        <f>SUM(H19:H20)</f>
        <v>102</v>
      </c>
      <c r="I25" s="300">
        <f t="shared" si="4"/>
        <v>5.7757644394110984E-2</v>
      </c>
      <c r="K25" s="381"/>
      <c r="L25" s="22"/>
      <c r="M25" s="22"/>
      <c r="N25" s="381"/>
      <c r="O25" s="22"/>
      <c r="P25" s="22"/>
      <c r="Q25" s="22"/>
    </row>
    <row r="28" spans="1:20" x14ac:dyDescent="0.15">
      <c r="E28" s="202"/>
    </row>
    <row r="29" spans="1:20" x14ac:dyDescent="0.15">
      <c r="A29" s="46"/>
      <c r="B29" s="47"/>
      <c r="C29" s="47"/>
      <c r="E29" s="46"/>
      <c r="F29" s="47"/>
      <c r="G29" s="47"/>
      <c r="I29" s="46"/>
      <c r="J29" s="47"/>
      <c r="K29" s="47"/>
    </row>
    <row r="30" spans="1:20" x14ac:dyDescent="0.15">
      <c r="A30" s="7"/>
      <c r="B30" s="8"/>
      <c r="C30" s="203"/>
      <c r="D30" s="22"/>
      <c r="E30" s="7"/>
      <c r="F30" s="8"/>
      <c r="G30" s="203"/>
      <c r="H30" s="22"/>
      <c r="I30" s="7"/>
      <c r="J30" s="8"/>
      <c r="K30" s="203"/>
      <c r="L30" s="22"/>
      <c r="M30" s="22"/>
      <c r="N30" s="22"/>
    </row>
    <row r="31" spans="1:20" x14ac:dyDescent="0.15">
      <c r="A31" s="7"/>
      <c r="B31" s="8"/>
      <c r="C31" s="203"/>
      <c r="D31" s="22"/>
      <c r="E31" s="7"/>
      <c r="F31" s="8"/>
      <c r="G31" s="203"/>
      <c r="H31" s="22"/>
      <c r="I31" s="7"/>
      <c r="J31" s="8"/>
      <c r="K31" s="203"/>
      <c r="L31" s="22"/>
      <c r="M31" s="22"/>
      <c r="N31" s="22"/>
    </row>
    <row r="32" spans="1:20" x14ac:dyDescent="0.15">
      <c r="A32" s="7"/>
      <c r="B32" s="8"/>
      <c r="C32" s="203"/>
      <c r="D32" s="22"/>
      <c r="E32" s="7"/>
      <c r="F32" s="8"/>
      <c r="G32" s="203"/>
      <c r="H32" s="22"/>
      <c r="I32" s="7"/>
      <c r="J32" s="8"/>
      <c r="K32" s="203"/>
      <c r="L32" s="22"/>
      <c r="M32" s="22"/>
      <c r="N32" s="22"/>
    </row>
    <row r="33" spans="1:14" x14ac:dyDescent="0.15">
      <c r="A33" s="7"/>
      <c r="B33" s="8"/>
      <c r="C33" s="203"/>
      <c r="D33" s="22"/>
      <c r="E33" s="7"/>
      <c r="F33" s="8"/>
      <c r="G33" s="203"/>
      <c r="H33" s="22"/>
      <c r="I33" s="7"/>
      <c r="J33" s="8"/>
      <c r="K33" s="203"/>
      <c r="L33" s="22"/>
      <c r="M33" s="22"/>
      <c r="N33" s="22"/>
    </row>
    <row r="34" spans="1:14" x14ac:dyDescent="0.15">
      <c r="A34" s="7"/>
      <c r="B34" s="8"/>
      <c r="C34" s="203"/>
      <c r="D34" s="22"/>
      <c r="E34" s="7"/>
      <c r="F34" s="8"/>
      <c r="G34" s="203"/>
      <c r="H34" s="22"/>
      <c r="I34" s="7"/>
      <c r="J34" s="8"/>
      <c r="K34" s="203"/>
      <c r="L34" s="22"/>
      <c r="M34" s="22"/>
      <c r="N34" s="22"/>
    </row>
    <row r="35" spans="1:14" x14ac:dyDescent="0.15">
      <c r="A35" s="7"/>
      <c r="B35" s="8"/>
      <c r="C35" s="203"/>
      <c r="D35" s="22"/>
      <c r="E35" s="7"/>
      <c r="F35" s="8"/>
      <c r="G35" s="203"/>
      <c r="H35" s="22"/>
      <c r="I35" s="7"/>
      <c r="J35" s="8"/>
      <c r="K35" s="203"/>
      <c r="L35" s="22"/>
      <c r="M35" s="22"/>
      <c r="N35" s="22"/>
    </row>
    <row r="36" spans="1:14" x14ac:dyDescent="0.15">
      <c r="A36" s="7"/>
      <c r="B36" s="8"/>
      <c r="C36" s="203"/>
      <c r="D36" s="22"/>
      <c r="E36" s="7"/>
      <c r="F36" s="8"/>
      <c r="G36" s="203"/>
      <c r="H36" s="22"/>
      <c r="I36" s="7"/>
      <c r="J36" s="8"/>
      <c r="K36" s="203"/>
      <c r="L36" s="22"/>
      <c r="M36" s="22"/>
      <c r="N36" s="22"/>
    </row>
    <row r="37" spans="1:14" x14ac:dyDescent="0.15">
      <c r="A37" s="7"/>
      <c r="B37" s="8"/>
      <c r="C37" s="203"/>
      <c r="D37" s="22"/>
      <c r="E37" s="7"/>
      <c r="F37" s="8"/>
      <c r="G37" s="203"/>
      <c r="H37" s="22"/>
      <c r="I37" s="7"/>
      <c r="J37" s="8"/>
      <c r="K37" s="203"/>
      <c r="L37" s="22"/>
      <c r="M37" s="22"/>
      <c r="N37" s="22"/>
    </row>
    <row r="38" spans="1:14" x14ac:dyDescent="0.15">
      <c r="A38" s="7"/>
      <c r="B38" s="8"/>
      <c r="C38" s="203"/>
      <c r="D38" s="22"/>
      <c r="E38" s="7"/>
      <c r="F38" s="8"/>
      <c r="G38" s="203"/>
      <c r="H38" s="22"/>
      <c r="I38" s="7"/>
      <c r="J38" s="8"/>
      <c r="K38" s="203"/>
      <c r="L38" s="22"/>
      <c r="M38" s="22"/>
      <c r="N38" s="22"/>
    </row>
    <row r="39" spans="1:14" x14ac:dyDescent="0.15">
      <c r="A39" s="7"/>
      <c r="B39" s="8"/>
      <c r="C39" s="203"/>
      <c r="D39" s="22"/>
      <c r="E39" s="7"/>
      <c r="F39" s="8"/>
      <c r="G39" s="203"/>
      <c r="H39" s="22"/>
      <c r="I39" s="7"/>
      <c r="J39" s="8"/>
      <c r="K39" s="203"/>
      <c r="L39" s="22"/>
      <c r="M39" s="22"/>
      <c r="N39" s="22"/>
    </row>
    <row r="40" spans="1:14" x14ac:dyDescent="0.15">
      <c r="A40" s="7"/>
      <c r="B40" s="8"/>
      <c r="C40" s="203"/>
      <c r="D40" s="22"/>
      <c r="E40" s="7"/>
      <c r="F40" s="8"/>
      <c r="G40" s="203"/>
      <c r="H40" s="22"/>
      <c r="I40" s="7"/>
      <c r="J40" s="8"/>
      <c r="K40" s="203"/>
      <c r="L40" s="22"/>
      <c r="M40" s="22"/>
      <c r="N40" s="22"/>
    </row>
    <row r="41" spans="1:14" x14ac:dyDescent="0.15">
      <c r="A41" s="7"/>
      <c r="B41" s="8"/>
      <c r="C41" s="203"/>
      <c r="D41" s="22"/>
      <c r="E41" s="7"/>
      <c r="F41" s="8"/>
      <c r="G41" s="203"/>
      <c r="H41" s="22"/>
      <c r="I41" s="7"/>
      <c r="J41" s="8"/>
      <c r="K41" s="203"/>
      <c r="L41" s="22"/>
      <c r="M41" s="22"/>
      <c r="N41" s="22"/>
    </row>
    <row r="42" spans="1:14" x14ac:dyDescent="0.15">
      <c r="A42" s="7"/>
      <c r="B42" s="8"/>
      <c r="C42" s="203"/>
      <c r="D42" s="22"/>
      <c r="E42" s="7"/>
      <c r="F42" s="8"/>
      <c r="G42" s="203"/>
      <c r="H42" s="22"/>
      <c r="I42" s="7"/>
      <c r="J42" s="8"/>
      <c r="K42" s="203"/>
      <c r="L42" s="22"/>
      <c r="M42" s="22"/>
      <c r="N42" s="22"/>
    </row>
    <row r="43" spans="1:14" x14ac:dyDescent="0.15">
      <c r="A43" s="7"/>
      <c r="B43" s="8"/>
      <c r="C43" s="203"/>
      <c r="D43" s="22"/>
      <c r="E43" s="7"/>
      <c r="F43" s="8"/>
      <c r="G43" s="203"/>
      <c r="H43" s="22"/>
      <c r="I43" s="7"/>
      <c r="J43" s="8"/>
      <c r="K43" s="203"/>
      <c r="L43" s="22"/>
      <c r="M43" s="22"/>
      <c r="N43" s="22"/>
    </row>
    <row r="44" spans="1:14" x14ac:dyDescent="0.15">
      <c r="A44" s="7"/>
      <c r="B44" s="8"/>
      <c r="C44" s="203"/>
      <c r="D44" s="22"/>
      <c r="E44" s="7"/>
      <c r="F44" s="8"/>
      <c r="G44" s="203"/>
      <c r="H44" s="22"/>
      <c r="I44" s="7"/>
      <c r="J44" s="8"/>
      <c r="K44" s="203"/>
      <c r="L44" s="22"/>
      <c r="M44" s="22"/>
      <c r="N44" s="22"/>
    </row>
    <row r="45" spans="1:14" x14ac:dyDescent="0.15">
      <c r="A45" s="38"/>
      <c r="B45" s="39"/>
      <c r="C45" s="149"/>
      <c r="E45" s="50"/>
      <c r="F45" s="51"/>
      <c r="G45" s="204"/>
      <c r="I45" s="38"/>
      <c r="J45" s="39"/>
      <c r="K45" s="149"/>
    </row>
    <row r="46" spans="1:14" x14ac:dyDescent="0.15">
      <c r="A46" s="50"/>
      <c r="B46" s="51"/>
      <c r="C46" s="204"/>
      <c r="D46" s="22"/>
      <c r="E46" s="22"/>
      <c r="F46" s="22"/>
      <c r="G46" s="22"/>
      <c r="H46" s="22"/>
      <c r="I46" s="50"/>
      <c r="J46" s="51"/>
      <c r="K46" s="204"/>
      <c r="L46" s="22"/>
      <c r="M46" s="22"/>
    </row>
    <row r="47" spans="1:14" x14ac:dyDescent="0.15">
      <c r="A47" s="22"/>
      <c r="B47" s="22"/>
      <c r="C47" s="22"/>
      <c r="D47" s="22"/>
      <c r="E47" s="22"/>
      <c r="F47" s="22"/>
      <c r="G47" s="22"/>
      <c r="H47" s="22"/>
      <c r="I47" s="22"/>
      <c r="J47" s="22"/>
      <c r="K47" s="22"/>
      <c r="L47" s="22"/>
      <c r="M47" s="22"/>
    </row>
  </sheetData>
  <phoneticPr fontId="2"/>
  <pageMargins left="0.70866141732283472" right="0.70866141732283472" top="0.74803149606299213" bottom="0.74803149606299213" header="0.31496062992125984" footer="0.31496062992125984"/>
  <pageSetup paperSize="11" scale="72" orientation="landscape" r:id="rId1"/>
  <colBreaks count="1" manualBreakCount="1">
    <brk id="4" max="24" man="1"/>
  </colBreaks>
  <ignoredErrors>
    <ignoredError sqref="I21 C2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データ削除4">
                <anchor moveWithCells="1" sizeWithCells="1">
                  <from>
                    <xdr:col>17</xdr:col>
                    <xdr:colOff>561975</xdr:colOff>
                    <xdr:row>2</xdr:row>
                    <xdr:rowOff>219075</xdr:rowOff>
                  </from>
                  <to>
                    <xdr:col>20</xdr:col>
                    <xdr:colOff>333375</xdr:colOff>
                    <xdr:row>4</xdr:row>
                    <xdr:rowOff>180975</xdr:rowOff>
                  </to>
                </anchor>
              </controlPr>
            </control>
          </mc:Choice>
        </mc:AlternateContent>
      </controls>
    </mc:Choice>
  </mc:AlternateContent>
  <tableParts count="3">
    <tablePart r:id="rId5"/>
    <tablePart r:id="rId6"/>
    <tablePart r:id="rId7"/>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6" tint="-0.249977111117893"/>
    <pageSetUpPr fitToPage="1"/>
  </sheetPr>
  <dimension ref="A1:F11"/>
  <sheetViews>
    <sheetView showGridLines="0" zoomScaleNormal="100" zoomScaleSheetLayoutView="100" workbookViewId="0">
      <selection activeCell="B15" sqref="B15"/>
    </sheetView>
  </sheetViews>
  <sheetFormatPr defaultRowHeight="18.75" x14ac:dyDescent="0.15"/>
  <cols>
    <col min="1" max="1" width="13.625" style="1" customWidth="1"/>
    <col min="2" max="4" width="10.75" style="1" customWidth="1"/>
    <col min="5" max="5" width="11" style="1" hidden="1" customWidth="1"/>
    <col min="6" max="6" width="7.375" style="1" hidden="1" customWidth="1"/>
    <col min="7" max="7" width="5" style="1" customWidth="1"/>
    <col min="8" max="8" width="6.625" style="1" customWidth="1"/>
    <col min="9" max="9" width="7.375" style="1" customWidth="1"/>
    <col min="10" max="16384" width="9" style="1"/>
  </cols>
  <sheetData>
    <row r="1" spans="1:3" s="3" customFormat="1" ht="19.5" x14ac:dyDescent="0.15">
      <c r="A1" s="2" t="s">
        <v>144</v>
      </c>
    </row>
    <row r="2" spans="1:3" x14ac:dyDescent="0.15">
      <c r="A2" s="4"/>
    </row>
    <row r="3" spans="1:3" s="3" customFormat="1" ht="19.5" x14ac:dyDescent="0.15">
      <c r="A3" s="4" t="s">
        <v>13</v>
      </c>
    </row>
    <row r="4" spans="1:3" x14ac:dyDescent="0.15">
      <c r="A4" s="258"/>
      <c r="B4" s="258" t="s">
        <v>0</v>
      </c>
      <c r="C4" s="258" t="s">
        <v>1</v>
      </c>
    </row>
    <row r="5" spans="1:3" x14ac:dyDescent="0.15">
      <c r="A5" s="298" t="s">
        <v>28</v>
      </c>
      <c r="B5" s="261">
        <v>339</v>
      </c>
      <c r="C5" s="300">
        <f>IFERROR(B5/B$11,"-")</f>
        <v>2.2225136038812036E-2</v>
      </c>
    </row>
    <row r="6" spans="1:3" x14ac:dyDescent="0.15">
      <c r="A6" s="298" t="s">
        <v>29</v>
      </c>
      <c r="B6" s="261">
        <v>1427</v>
      </c>
      <c r="C6" s="300">
        <f t="shared" ref="C6:C10" si="0">IFERROR(B6/B$11,"-")</f>
        <v>9.3555366157477213E-2</v>
      </c>
    </row>
    <row r="7" spans="1:3" x14ac:dyDescent="0.15">
      <c r="A7" s="298" t="s">
        <v>30</v>
      </c>
      <c r="B7" s="261">
        <v>2869</v>
      </c>
      <c r="C7" s="300">
        <f t="shared" si="0"/>
        <v>0.18809414541401692</v>
      </c>
    </row>
    <row r="8" spans="1:3" x14ac:dyDescent="0.15">
      <c r="A8" s="298" t="s">
        <v>31</v>
      </c>
      <c r="B8" s="261">
        <v>6020</v>
      </c>
      <c r="C8" s="300">
        <f t="shared" si="0"/>
        <v>0.39467645709040844</v>
      </c>
    </row>
    <row r="9" spans="1:3" x14ac:dyDescent="0.15">
      <c r="A9" s="298" t="s">
        <v>32</v>
      </c>
      <c r="B9" s="261">
        <v>3933</v>
      </c>
      <c r="C9" s="300">
        <f t="shared" si="0"/>
        <v>0.25785091457418213</v>
      </c>
    </row>
    <row r="10" spans="1:3" x14ac:dyDescent="0.15">
      <c r="A10" s="298" t="s">
        <v>33</v>
      </c>
      <c r="B10" s="261">
        <v>665</v>
      </c>
      <c r="C10" s="300">
        <f t="shared" si="0"/>
        <v>4.3597980725103257E-2</v>
      </c>
    </row>
    <row r="11" spans="1:3" x14ac:dyDescent="0.15">
      <c r="A11" s="301" t="s">
        <v>11</v>
      </c>
      <c r="B11" s="262">
        <f>SUM(B5:B10)</f>
        <v>15253</v>
      </c>
      <c r="C11" s="263">
        <f>SUM(C5:C10)</f>
        <v>1</v>
      </c>
    </row>
  </sheetData>
  <phoneticPr fontId="2"/>
  <pageMargins left="0.70866141732283472" right="0.70866141732283472" top="0.74803149606299213" bottom="0.74803149606299213" header="0.31496062992125984" footer="0.31496062992125984"/>
  <pageSetup paperSize="1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データ削除5">
                <anchor moveWithCells="1" sizeWithCells="1">
                  <from>
                    <xdr:col>4</xdr:col>
                    <xdr:colOff>57150</xdr:colOff>
                    <xdr:row>1</xdr:row>
                    <xdr:rowOff>190500</xdr:rowOff>
                  </from>
                  <to>
                    <xdr:col>5</xdr:col>
                    <xdr:colOff>466725</xdr:colOff>
                    <xdr:row>3</xdr:row>
                    <xdr:rowOff>142875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tint="-0.249977111117893"/>
    <pageSetUpPr fitToPage="1"/>
  </sheetPr>
  <dimension ref="A1:M95"/>
  <sheetViews>
    <sheetView showGridLines="0" topLeftCell="A24" zoomScale="90" zoomScaleNormal="90" zoomScaleSheetLayoutView="70" zoomScalePageLayoutView="80" workbookViewId="0">
      <selection activeCell="A38" sqref="A38"/>
    </sheetView>
  </sheetViews>
  <sheetFormatPr defaultRowHeight="18.75" x14ac:dyDescent="0.15"/>
  <cols>
    <col min="1" max="1" width="62.5" style="1" customWidth="1"/>
    <col min="2" max="3" width="9.375" style="1" customWidth="1"/>
    <col min="4" max="4" width="4.125" style="1" customWidth="1"/>
    <col min="5" max="5" width="43.75" style="1" customWidth="1"/>
    <col min="6" max="9" width="9.375" style="1" customWidth="1"/>
    <col min="10" max="10" width="6.25" style="1" customWidth="1"/>
    <col min="11" max="11" width="6.25" style="1" hidden="1" customWidth="1"/>
    <col min="12" max="12" width="47.25" style="1" hidden="1" customWidth="1"/>
    <col min="13" max="13" width="9.5" style="1" customWidth="1"/>
    <col min="14" max="14" width="49.625" style="1" customWidth="1"/>
    <col min="15" max="15" width="32.75" style="1" customWidth="1"/>
    <col min="16" max="16" width="57.125" style="1" customWidth="1"/>
    <col min="17" max="17" width="55.25" style="1" customWidth="1"/>
    <col min="18" max="18" width="25.25" style="1" customWidth="1"/>
    <col min="19" max="19" width="47.875" style="1" bestFit="1" customWidth="1"/>
    <col min="20" max="20" width="34" style="1" customWidth="1"/>
    <col min="21" max="21" width="25.25" style="1" customWidth="1"/>
    <col min="22" max="22" width="55.25" style="1" customWidth="1"/>
    <col min="23" max="23" width="41.5" style="1" customWidth="1"/>
    <col min="24" max="24" width="32.75" style="1" customWidth="1"/>
    <col min="25" max="26" width="47.875" style="1" bestFit="1" customWidth="1"/>
    <col min="27" max="27" width="29" style="1" bestFit="1" customWidth="1"/>
    <col min="28" max="28" width="55.25" style="1" bestFit="1" customWidth="1"/>
    <col min="29" max="29" width="41.5" style="1" bestFit="1" customWidth="1"/>
    <col min="30" max="30" width="32.75" style="1" bestFit="1" customWidth="1"/>
    <col min="31" max="16384" width="9" style="1"/>
  </cols>
  <sheetData>
    <row r="1" spans="1:9" s="3" customFormat="1" ht="19.5" x14ac:dyDescent="0.15">
      <c r="A1" s="194" t="s">
        <v>230</v>
      </c>
    </row>
    <row r="2" spans="1:9" x14ac:dyDescent="0.15">
      <c r="A2" s="4"/>
    </row>
    <row r="3" spans="1:9" x14ac:dyDescent="0.15">
      <c r="A3" s="4" t="s">
        <v>13</v>
      </c>
      <c r="E3" s="4" t="s">
        <v>113</v>
      </c>
    </row>
    <row r="4" spans="1:9" x14ac:dyDescent="0.15">
      <c r="A4" s="306"/>
      <c r="B4" s="258" t="s">
        <v>0</v>
      </c>
      <c r="C4" s="258" t="s">
        <v>1</v>
      </c>
      <c r="E4" s="306"/>
      <c r="F4" s="258" t="s">
        <v>114</v>
      </c>
      <c r="G4" s="305" t="s">
        <v>116</v>
      </c>
      <c r="H4" s="258" t="s">
        <v>12</v>
      </c>
      <c r="I4" s="258" t="s">
        <v>1</v>
      </c>
    </row>
    <row r="5" spans="1:9" ht="37.5" x14ac:dyDescent="0.15">
      <c r="A5" s="307" t="s">
        <v>231</v>
      </c>
      <c r="B5" s="308">
        <v>2187</v>
      </c>
      <c r="C5" s="300">
        <f>IFERROR(B5/B$8,"-")</f>
        <v>0.14338162984330952</v>
      </c>
      <c r="E5" s="307" t="s">
        <v>231</v>
      </c>
      <c r="F5" s="259">
        <v>83</v>
      </c>
      <c r="G5" s="259">
        <v>596</v>
      </c>
      <c r="H5" s="259">
        <f>SUM(F5:G5)</f>
        <v>679</v>
      </c>
      <c r="I5" s="300">
        <f>IFERROR(H5/H$8,"-")</f>
        <v>0.38448471121177802</v>
      </c>
    </row>
    <row r="6" spans="1:9" x14ac:dyDescent="0.15">
      <c r="A6" s="302" t="s">
        <v>232</v>
      </c>
      <c r="B6" s="261">
        <v>11321</v>
      </c>
      <c r="C6" s="300">
        <f t="shared" ref="C6:C7" si="0">IFERROR(B6/B$8,"-")</f>
        <v>0.74221464629908873</v>
      </c>
      <c r="E6" s="302" t="s">
        <v>232</v>
      </c>
      <c r="F6" s="261">
        <v>9</v>
      </c>
      <c r="G6" s="261">
        <v>227</v>
      </c>
      <c r="H6" s="259">
        <f t="shared" ref="H6:H7" si="1">SUM(F6:G6)</f>
        <v>236</v>
      </c>
      <c r="I6" s="300">
        <f t="shared" ref="I6:I7" si="2">IFERROR(H6/H$8,"-")</f>
        <v>0.13363533408833522</v>
      </c>
    </row>
    <row r="7" spans="1:9" x14ac:dyDescent="0.15">
      <c r="A7" s="302" t="s">
        <v>233</v>
      </c>
      <c r="B7" s="261">
        <v>1745</v>
      </c>
      <c r="C7" s="300">
        <f t="shared" si="0"/>
        <v>0.11440372385760178</v>
      </c>
      <c r="E7" s="302" t="s">
        <v>233</v>
      </c>
      <c r="F7" s="261">
        <v>247</v>
      </c>
      <c r="G7" s="261">
        <v>604</v>
      </c>
      <c r="H7" s="259">
        <f t="shared" si="1"/>
        <v>851</v>
      </c>
      <c r="I7" s="300">
        <f t="shared" si="2"/>
        <v>0.48187995469988676</v>
      </c>
    </row>
    <row r="8" spans="1:9" x14ac:dyDescent="0.15">
      <c r="A8" s="301" t="s">
        <v>11</v>
      </c>
      <c r="B8" s="262">
        <f>SUM(B5:B7)</f>
        <v>15253</v>
      </c>
      <c r="C8" s="263">
        <f>SUM(C5:C7)</f>
        <v>1</v>
      </c>
      <c r="E8" s="301" t="s">
        <v>11</v>
      </c>
      <c r="F8" s="262">
        <f>SUM(F5:F7)</f>
        <v>339</v>
      </c>
      <c r="G8" s="262">
        <f>SUM(G5:G7)</f>
        <v>1427</v>
      </c>
      <c r="H8" s="262">
        <f>SUM(H5:H7)</f>
        <v>1766</v>
      </c>
      <c r="I8" s="263">
        <f>SUM(I5:I7)</f>
        <v>1</v>
      </c>
    </row>
    <row r="9" spans="1:9" x14ac:dyDescent="0.15">
      <c r="A9" s="4"/>
    </row>
    <row r="10" spans="1:9" s="3" customFormat="1" ht="19.5" x14ac:dyDescent="0.15">
      <c r="A10" s="194" t="s">
        <v>54</v>
      </c>
    </row>
    <row r="11" spans="1:9" x14ac:dyDescent="0.15">
      <c r="A11" s="4"/>
    </row>
    <row r="12" spans="1:9" x14ac:dyDescent="0.15">
      <c r="A12" s="4" t="s">
        <v>13</v>
      </c>
      <c r="E12" s="4" t="s">
        <v>113</v>
      </c>
    </row>
    <row r="13" spans="1:9" x14ac:dyDescent="0.15">
      <c r="A13" s="306"/>
      <c r="B13" s="258" t="s">
        <v>0</v>
      </c>
      <c r="C13" s="258" t="s">
        <v>1</v>
      </c>
      <c r="E13" s="306"/>
      <c r="F13" s="258" t="s">
        <v>114</v>
      </c>
      <c r="G13" s="305" t="s">
        <v>116</v>
      </c>
      <c r="H13" s="258" t="s">
        <v>12</v>
      </c>
      <c r="I13" s="258" t="s">
        <v>1</v>
      </c>
    </row>
    <row r="14" spans="1:9" x14ac:dyDescent="0.15">
      <c r="A14" s="302" t="s">
        <v>34</v>
      </c>
      <c r="B14" s="308">
        <v>1969</v>
      </c>
      <c r="C14" s="300">
        <f>IFERROR(B14/B$16,"-")</f>
        <v>0.90032007315957929</v>
      </c>
      <c r="E14" s="302" t="s">
        <v>34</v>
      </c>
      <c r="F14" s="23">
        <v>57</v>
      </c>
      <c r="G14" s="304">
        <v>516</v>
      </c>
      <c r="H14" s="259">
        <f>SUM(F14:G14)</f>
        <v>573</v>
      </c>
      <c r="I14" s="300">
        <f>IFERROR(H14/H$16,"-")</f>
        <v>0.8438880706921944</v>
      </c>
    </row>
    <row r="15" spans="1:9" x14ac:dyDescent="0.15">
      <c r="A15" s="302" t="s">
        <v>35</v>
      </c>
      <c r="B15" s="261">
        <v>218</v>
      </c>
      <c r="C15" s="300">
        <f>IFERROR(B15/B$16,"-")</f>
        <v>9.9679926840420666E-2</v>
      </c>
      <c r="E15" s="302" t="s">
        <v>35</v>
      </c>
      <c r="F15" s="261">
        <v>26</v>
      </c>
      <c r="G15" s="304">
        <v>80</v>
      </c>
      <c r="H15" s="259">
        <f t="shared" ref="H15" si="3">SUM(F15:G15)</f>
        <v>106</v>
      </c>
      <c r="I15" s="300">
        <f>IFERROR(H15/H$16,"-")</f>
        <v>0.1561119293078056</v>
      </c>
    </row>
    <row r="16" spans="1:9" x14ac:dyDescent="0.15">
      <c r="A16" s="301" t="s">
        <v>11</v>
      </c>
      <c r="B16" s="262">
        <f>SUM(B14:B15)</f>
        <v>2187</v>
      </c>
      <c r="C16" s="263">
        <f>SUM(C14:C15)</f>
        <v>1</v>
      </c>
      <c r="E16" s="301" t="s">
        <v>11</v>
      </c>
      <c r="F16" s="262">
        <f>SUM(F14:F15)</f>
        <v>83</v>
      </c>
      <c r="G16" s="262">
        <f>SUM(G14:G15)</f>
        <v>596</v>
      </c>
      <c r="H16" s="262">
        <f>SUM(H14:H15)</f>
        <v>679</v>
      </c>
      <c r="I16" s="263">
        <f>SUM(I14:I15)</f>
        <v>1</v>
      </c>
    </row>
    <row r="17" spans="1:13" x14ac:dyDescent="0.15">
      <c r="A17" s="4"/>
    </row>
    <row r="18" spans="1:13" s="3" customFormat="1" ht="19.5" x14ac:dyDescent="0.15">
      <c r="A18" s="2" t="s">
        <v>55</v>
      </c>
    </row>
    <row r="19" spans="1:13" x14ac:dyDescent="0.15">
      <c r="A19" s="4"/>
    </row>
    <row r="20" spans="1:13" x14ac:dyDescent="0.15">
      <c r="A20" s="4" t="s">
        <v>13</v>
      </c>
      <c r="B20" s="369"/>
      <c r="C20" s="369"/>
      <c r="E20" s="4" t="s">
        <v>113</v>
      </c>
    </row>
    <row r="21" spans="1:13" x14ac:dyDescent="0.15">
      <c r="A21" s="643">
        <f>B14</f>
        <v>1969</v>
      </c>
      <c r="B21" s="643"/>
      <c r="C21" s="643"/>
      <c r="E21" s="644">
        <f>H14</f>
        <v>573</v>
      </c>
      <c r="F21" s="644"/>
      <c r="G21" s="644"/>
      <c r="H21" s="644"/>
      <c r="I21" s="644"/>
    </row>
    <row r="22" spans="1:13" x14ac:dyDescent="0.15">
      <c r="A22" s="306"/>
      <c r="B22" s="258" t="s">
        <v>37</v>
      </c>
      <c r="C22" s="258" t="s">
        <v>1</v>
      </c>
      <c r="E22" s="306"/>
      <c r="F22" s="258" t="s">
        <v>114</v>
      </c>
      <c r="G22" s="305" t="s">
        <v>116</v>
      </c>
      <c r="H22" s="258" t="s">
        <v>12</v>
      </c>
      <c r="I22" s="258" t="s">
        <v>1</v>
      </c>
    </row>
    <row r="23" spans="1:13" ht="56.25" customHeight="1" x14ac:dyDescent="0.15">
      <c r="A23" s="309" t="s">
        <v>234</v>
      </c>
      <c r="B23" s="310">
        <v>732</v>
      </c>
      <c r="C23" s="311">
        <f>IFERROR(B23/B$14,"-")</f>
        <v>0.37176231589639414</v>
      </c>
      <c r="D23" s="139"/>
      <c r="E23" s="309" t="s">
        <v>235</v>
      </c>
      <c r="F23" s="304">
        <v>10</v>
      </c>
      <c r="G23" s="304">
        <v>155</v>
      </c>
      <c r="H23" s="259">
        <f>SUM(F23:G23)</f>
        <v>165</v>
      </c>
      <c r="I23" s="300">
        <f>IFERROR(H23/H$14,"-")</f>
        <v>0.2879581151832461</v>
      </c>
      <c r="L23" s="142"/>
      <c r="M23" s="142"/>
    </row>
    <row r="24" spans="1:13" x14ac:dyDescent="0.15">
      <c r="A24" s="312" t="s">
        <v>145</v>
      </c>
      <c r="B24" s="310">
        <v>572</v>
      </c>
      <c r="C24" s="311">
        <f t="shared" ref="C24:C40" si="4">IFERROR(B24/B$14,"-")</f>
        <v>0.29050279329608941</v>
      </c>
      <c r="D24" s="139"/>
      <c r="E24" s="312" t="s">
        <v>66</v>
      </c>
      <c r="F24" s="304">
        <v>10</v>
      </c>
      <c r="G24" s="304">
        <v>108</v>
      </c>
      <c r="H24" s="259">
        <f t="shared" ref="H24:H40" si="5">SUM(F24:G24)</f>
        <v>118</v>
      </c>
      <c r="I24" s="300">
        <f>IFERROR(H24/H$14,"-")</f>
        <v>0.20593368237347295</v>
      </c>
      <c r="L24" s="38"/>
      <c r="M24" s="23"/>
    </row>
    <row r="25" spans="1:13" x14ac:dyDescent="0.15">
      <c r="A25" s="312" t="s">
        <v>38</v>
      </c>
      <c r="B25" s="310">
        <v>117</v>
      </c>
      <c r="C25" s="311">
        <f t="shared" si="4"/>
        <v>5.9421025901472829E-2</v>
      </c>
      <c r="D25" s="139"/>
      <c r="E25" s="312" t="s">
        <v>38</v>
      </c>
      <c r="F25" s="304">
        <v>1</v>
      </c>
      <c r="G25" s="304">
        <v>16</v>
      </c>
      <c r="H25" s="259">
        <f t="shared" si="5"/>
        <v>17</v>
      </c>
      <c r="I25" s="300">
        <f t="shared" ref="I25:I40" si="6">IFERROR(H25/H$14,"-")</f>
        <v>2.9668411867364748E-2</v>
      </c>
      <c r="L25" s="38"/>
      <c r="M25" s="23"/>
    </row>
    <row r="26" spans="1:13" x14ac:dyDescent="0.15">
      <c r="A26" s="312" t="s">
        <v>39</v>
      </c>
      <c r="B26" s="310">
        <v>727</v>
      </c>
      <c r="C26" s="311">
        <f t="shared" si="4"/>
        <v>0.36922295581513459</v>
      </c>
      <c r="D26" s="139"/>
      <c r="E26" s="312" t="s">
        <v>39</v>
      </c>
      <c r="F26" s="304">
        <v>16</v>
      </c>
      <c r="G26" s="304">
        <v>184</v>
      </c>
      <c r="H26" s="259">
        <f t="shared" si="5"/>
        <v>200</v>
      </c>
      <c r="I26" s="300">
        <f t="shared" si="6"/>
        <v>0.34904013961605584</v>
      </c>
      <c r="L26" s="38"/>
      <c r="M26" s="23"/>
    </row>
    <row r="27" spans="1:13" x14ac:dyDescent="0.15">
      <c r="A27" s="312" t="s">
        <v>40</v>
      </c>
      <c r="B27" s="310">
        <v>840</v>
      </c>
      <c r="C27" s="311">
        <f t="shared" si="4"/>
        <v>0.42661249365159981</v>
      </c>
      <c r="D27" s="139"/>
      <c r="E27" s="312" t="s">
        <v>40</v>
      </c>
      <c r="F27" s="304">
        <v>8</v>
      </c>
      <c r="G27" s="304">
        <v>132</v>
      </c>
      <c r="H27" s="259">
        <f t="shared" si="5"/>
        <v>140</v>
      </c>
      <c r="I27" s="300">
        <f t="shared" si="6"/>
        <v>0.24432809773123909</v>
      </c>
      <c r="L27" s="38"/>
      <c r="M27" s="23"/>
    </row>
    <row r="28" spans="1:13" x14ac:dyDescent="0.15">
      <c r="A28" s="312" t="s">
        <v>41</v>
      </c>
      <c r="B28" s="310">
        <v>602</v>
      </c>
      <c r="C28" s="311">
        <f t="shared" si="4"/>
        <v>0.30573895378364652</v>
      </c>
      <c r="D28" s="139"/>
      <c r="E28" s="312" t="s">
        <v>41</v>
      </c>
      <c r="F28" s="304">
        <v>14</v>
      </c>
      <c r="G28" s="304">
        <v>151</v>
      </c>
      <c r="H28" s="259">
        <f t="shared" si="5"/>
        <v>165</v>
      </c>
      <c r="I28" s="300">
        <f t="shared" si="6"/>
        <v>0.2879581151832461</v>
      </c>
      <c r="L28" s="38"/>
      <c r="M28" s="23"/>
    </row>
    <row r="29" spans="1:13" x14ac:dyDescent="0.15">
      <c r="A29" s="312" t="s">
        <v>42</v>
      </c>
      <c r="B29" s="310">
        <v>183</v>
      </c>
      <c r="C29" s="311">
        <f t="shared" si="4"/>
        <v>9.2940578974098534E-2</v>
      </c>
      <c r="D29" s="139"/>
      <c r="E29" s="312" t="s">
        <v>42</v>
      </c>
      <c r="F29" s="304">
        <v>4</v>
      </c>
      <c r="G29" s="304">
        <v>28</v>
      </c>
      <c r="H29" s="259">
        <f t="shared" si="5"/>
        <v>32</v>
      </c>
      <c r="I29" s="300">
        <f t="shared" si="6"/>
        <v>5.5846422338568937E-2</v>
      </c>
      <c r="L29" s="38"/>
      <c r="M29" s="23"/>
    </row>
    <row r="30" spans="1:13" x14ac:dyDescent="0.15">
      <c r="A30" s="312" t="s">
        <v>43</v>
      </c>
      <c r="B30" s="310">
        <v>613</v>
      </c>
      <c r="C30" s="311">
        <f t="shared" si="4"/>
        <v>0.31132554596241746</v>
      </c>
      <c r="D30" s="139"/>
      <c r="E30" s="312" t="s">
        <v>43</v>
      </c>
      <c r="F30" s="304">
        <v>4</v>
      </c>
      <c r="G30" s="304">
        <v>114</v>
      </c>
      <c r="H30" s="259">
        <f t="shared" si="5"/>
        <v>118</v>
      </c>
      <c r="I30" s="300">
        <f t="shared" si="6"/>
        <v>0.20593368237347295</v>
      </c>
      <c r="L30" s="38"/>
      <c r="M30" s="23"/>
    </row>
    <row r="31" spans="1:13" x14ac:dyDescent="0.15">
      <c r="A31" s="312" t="s">
        <v>44</v>
      </c>
      <c r="B31" s="310">
        <v>367</v>
      </c>
      <c r="C31" s="311">
        <f t="shared" si="4"/>
        <v>0.18638902996444895</v>
      </c>
      <c r="D31" s="139"/>
      <c r="E31" s="312" t="s">
        <v>44</v>
      </c>
      <c r="F31" s="304">
        <v>5</v>
      </c>
      <c r="G31" s="304">
        <v>90</v>
      </c>
      <c r="H31" s="259">
        <f t="shared" si="5"/>
        <v>95</v>
      </c>
      <c r="I31" s="300">
        <f t="shared" si="6"/>
        <v>0.16579406631762653</v>
      </c>
      <c r="L31" s="38"/>
      <c r="M31" s="23"/>
    </row>
    <row r="32" spans="1:13" x14ac:dyDescent="0.15">
      <c r="A32" s="312" t="s">
        <v>245</v>
      </c>
      <c r="B32" s="310">
        <v>445</v>
      </c>
      <c r="C32" s="311">
        <f t="shared" si="4"/>
        <v>0.22600304723209752</v>
      </c>
      <c r="D32" s="139"/>
      <c r="E32" s="312" t="s">
        <v>246</v>
      </c>
      <c r="F32" s="304">
        <v>10</v>
      </c>
      <c r="G32" s="304">
        <v>111</v>
      </c>
      <c r="H32" s="259">
        <f t="shared" si="5"/>
        <v>121</v>
      </c>
      <c r="I32" s="300">
        <f t="shared" si="6"/>
        <v>0.2111692844677138</v>
      </c>
      <c r="L32" s="38"/>
      <c r="M32" s="23"/>
    </row>
    <row r="33" spans="1:13" x14ac:dyDescent="0.15">
      <c r="A33" s="312" t="s">
        <v>46</v>
      </c>
      <c r="B33" s="310">
        <v>709</v>
      </c>
      <c r="C33" s="311">
        <f t="shared" si="4"/>
        <v>0.36008125952260028</v>
      </c>
      <c r="D33" s="139"/>
      <c r="E33" s="312" t="s">
        <v>46</v>
      </c>
      <c r="F33" s="304">
        <v>31</v>
      </c>
      <c r="G33" s="304">
        <v>203</v>
      </c>
      <c r="H33" s="259">
        <f t="shared" si="5"/>
        <v>234</v>
      </c>
      <c r="I33" s="300">
        <f t="shared" si="6"/>
        <v>0.40837696335078533</v>
      </c>
      <c r="L33" s="38"/>
      <c r="M33" s="23"/>
    </row>
    <row r="34" spans="1:13" x14ac:dyDescent="0.15">
      <c r="A34" s="312" t="s">
        <v>47</v>
      </c>
      <c r="B34" s="310">
        <v>121</v>
      </c>
      <c r="C34" s="311">
        <f t="shared" si="4"/>
        <v>6.1452513966480445E-2</v>
      </c>
      <c r="D34" s="139"/>
      <c r="E34" s="312" t="s">
        <v>47</v>
      </c>
      <c r="F34" s="304">
        <v>4</v>
      </c>
      <c r="G34" s="304">
        <v>37</v>
      </c>
      <c r="H34" s="259">
        <f t="shared" si="5"/>
        <v>41</v>
      </c>
      <c r="I34" s="300">
        <f t="shared" si="6"/>
        <v>7.1553228621291445E-2</v>
      </c>
      <c r="L34" s="38"/>
      <c r="M34" s="23"/>
    </row>
    <row r="35" spans="1:13" x14ac:dyDescent="0.15">
      <c r="A35" s="312" t="s">
        <v>48</v>
      </c>
      <c r="B35" s="310">
        <v>119</v>
      </c>
      <c r="C35" s="311">
        <f t="shared" si="4"/>
        <v>6.043676993397664E-2</v>
      </c>
      <c r="D35" s="139"/>
      <c r="E35" s="312" t="s">
        <v>48</v>
      </c>
      <c r="F35" s="304">
        <v>2</v>
      </c>
      <c r="G35" s="304">
        <v>24</v>
      </c>
      <c r="H35" s="259">
        <f t="shared" si="5"/>
        <v>26</v>
      </c>
      <c r="I35" s="300">
        <f t="shared" si="6"/>
        <v>4.5375218150087257E-2</v>
      </c>
      <c r="L35" s="38"/>
      <c r="M35" s="23"/>
    </row>
    <row r="36" spans="1:13" x14ac:dyDescent="0.15">
      <c r="A36" s="312" t="s">
        <v>49</v>
      </c>
      <c r="B36" s="310">
        <v>11</v>
      </c>
      <c r="C36" s="311">
        <f t="shared" si="4"/>
        <v>5.5865921787709499E-3</v>
      </c>
      <c r="D36" s="139"/>
      <c r="E36" s="312" t="s">
        <v>49</v>
      </c>
      <c r="F36" s="304">
        <v>0</v>
      </c>
      <c r="G36" s="304">
        <v>3</v>
      </c>
      <c r="H36" s="259">
        <f t="shared" si="5"/>
        <v>3</v>
      </c>
      <c r="I36" s="300">
        <f t="shared" si="6"/>
        <v>5.235602094240838E-3</v>
      </c>
      <c r="L36" s="38"/>
      <c r="M36" s="23"/>
    </row>
    <row r="37" spans="1:13" x14ac:dyDescent="0.15">
      <c r="A37" s="312" t="s">
        <v>50</v>
      </c>
      <c r="B37" s="310">
        <v>165</v>
      </c>
      <c r="C37" s="311">
        <f t="shared" si="4"/>
        <v>8.3798882681564241E-2</v>
      </c>
      <c r="D37" s="139"/>
      <c r="E37" s="312" t="s">
        <v>50</v>
      </c>
      <c r="F37" s="304">
        <v>4</v>
      </c>
      <c r="G37" s="304">
        <v>56</v>
      </c>
      <c r="H37" s="259">
        <f t="shared" si="5"/>
        <v>60</v>
      </c>
      <c r="I37" s="300">
        <f t="shared" si="6"/>
        <v>0.10471204188481675</v>
      </c>
      <c r="L37" s="38"/>
      <c r="M37" s="23"/>
    </row>
    <row r="38" spans="1:13" ht="36" customHeight="1" x14ac:dyDescent="0.15">
      <c r="A38" s="312" t="s">
        <v>51</v>
      </c>
      <c r="B38" s="310">
        <v>182</v>
      </c>
      <c r="C38" s="311">
        <f t="shared" si="4"/>
        <v>9.2432706957846625E-2</v>
      </c>
      <c r="D38" s="139"/>
      <c r="E38" s="309" t="s">
        <v>51</v>
      </c>
      <c r="F38" s="304">
        <v>5</v>
      </c>
      <c r="G38" s="304">
        <v>58</v>
      </c>
      <c r="H38" s="259">
        <f t="shared" si="5"/>
        <v>63</v>
      </c>
      <c r="I38" s="300">
        <f t="shared" si="6"/>
        <v>0.1099476439790576</v>
      </c>
      <c r="L38" s="38"/>
      <c r="M38" s="23"/>
    </row>
    <row r="39" spans="1:13" x14ac:dyDescent="0.15">
      <c r="A39" s="312" t="s">
        <v>247</v>
      </c>
      <c r="B39" s="310">
        <v>34</v>
      </c>
      <c r="C39" s="311">
        <f t="shared" si="4"/>
        <v>1.7267648552564754E-2</v>
      </c>
      <c r="D39" s="139"/>
      <c r="E39" s="312" t="s">
        <v>247</v>
      </c>
      <c r="F39" s="304">
        <v>0</v>
      </c>
      <c r="G39" s="304">
        <v>12</v>
      </c>
      <c r="H39" s="259">
        <f t="shared" si="5"/>
        <v>12</v>
      </c>
      <c r="I39" s="300">
        <f t="shared" si="6"/>
        <v>2.0942408376963352E-2</v>
      </c>
      <c r="L39" s="38"/>
      <c r="M39" s="23"/>
    </row>
    <row r="40" spans="1:13" x14ac:dyDescent="0.15">
      <c r="A40" s="312" t="s">
        <v>53</v>
      </c>
      <c r="B40" s="310">
        <v>111</v>
      </c>
      <c r="C40" s="311">
        <f t="shared" si="4"/>
        <v>5.6373793803961403E-2</v>
      </c>
      <c r="D40" s="139"/>
      <c r="E40" s="312" t="s">
        <v>53</v>
      </c>
      <c r="F40" s="304">
        <v>7</v>
      </c>
      <c r="G40" s="304">
        <v>31</v>
      </c>
      <c r="H40" s="259">
        <f t="shared" si="5"/>
        <v>38</v>
      </c>
      <c r="I40" s="300">
        <f t="shared" si="6"/>
        <v>6.6317626527050616E-2</v>
      </c>
      <c r="L40" s="38"/>
      <c r="M40" s="23"/>
    </row>
    <row r="41" spans="1:13" x14ac:dyDescent="0.15">
      <c r="B41" s="146"/>
      <c r="F41" s="195"/>
      <c r="G41" s="195"/>
      <c r="H41" s="185"/>
      <c r="I41" s="186"/>
      <c r="L41" s="38"/>
      <c r="M41" s="23"/>
    </row>
    <row r="42" spans="1:13" x14ac:dyDescent="0.15">
      <c r="K42" s="22"/>
      <c r="L42" s="7"/>
      <c r="M42" s="86"/>
    </row>
    <row r="43" spans="1:13" x14ac:dyDescent="0.15">
      <c r="K43" s="22"/>
      <c r="L43" s="7"/>
      <c r="M43" s="86"/>
    </row>
    <row r="44" spans="1:13" x14ac:dyDescent="0.15">
      <c r="K44" s="22"/>
      <c r="L44" s="7"/>
      <c r="M44" s="86"/>
    </row>
    <row r="45" spans="1:13" x14ac:dyDescent="0.15">
      <c r="K45" s="22"/>
      <c r="L45" s="7"/>
      <c r="M45" s="86"/>
    </row>
    <row r="46" spans="1:13" x14ac:dyDescent="0.15">
      <c r="K46" s="22"/>
      <c r="L46" s="22"/>
      <c r="M46" s="22"/>
    </row>
    <row r="47" spans="1:13" x14ac:dyDescent="0.15">
      <c r="K47" s="22"/>
      <c r="L47" s="184"/>
      <c r="M47" s="184"/>
    </row>
    <row r="48" spans="1:13" x14ac:dyDescent="0.15">
      <c r="K48" s="22"/>
      <c r="L48" s="7"/>
      <c r="M48" s="86"/>
    </row>
    <row r="49" spans="11:13" x14ac:dyDescent="0.15">
      <c r="K49" s="22"/>
      <c r="L49" s="7"/>
      <c r="M49" s="86"/>
    </row>
    <row r="50" spans="11:13" x14ac:dyDescent="0.15">
      <c r="K50" s="22"/>
      <c r="L50" s="7"/>
      <c r="M50" s="86"/>
    </row>
    <row r="51" spans="11:13" x14ac:dyDescent="0.15">
      <c r="K51" s="22"/>
      <c r="L51" s="7"/>
      <c r="M51" s="86"/>
    </row>
    <row r="52" spans="11:13" x14ac:dyDescent="0.15">
      <c r="K52" s="22"/>
      <c r="L52" s="7"/>
      <c r="M52" s="86"/>
    </row>
    <row r="53" spans="11:13" x14ac:dyDescent="0.15">
      <c r="K53" s="22"/>
      <c r="L53" s="7"/>
      <c r="M53" s="86"/>
    </row>
    <row r="54" spans="11:13" x14ac:dyDescent="0.15">
      <c r="K54" s="22"/>
      <c r="L54" s="7"/>
      <c r="M54" s="86"/>
    </row>
    <row r="55" spans="11:13" x14ac:dyDescent="0.15">
      <c r="K55" s="22"/>
      <c r="L55" s="7"/>
      <c r="M55" s="86"/>
    </row>
    <row r="56" spans="11:13" x14ac:dyDescent="0.15">
      <c r="K56" s="22"/>
      <c r="L56" s="7"/>
      <c r="M56" s="86"/>
    </row>
    <row r="57" spans="11:13" x14ac:dyDescent="0.15">
      <c r="K57" s="22"/>
      <c r="L57" s="7"/>
      <c r="M57" s="86"/>
    </row>
    <row r="58" spans="11:13" x14ac:dyDescent="0.15">
      <c r="K58" s="22"/>
      <c r="L58" s="7"/>
      <c r="M58" s="86"/>
    </row>
    <row r="59" spans="11:13" x14ac:dyDescent="0.15">
      <c r="K59" s="22"/>
      <c r="L59" s="7"/>
      <c r="M59" s="86"/>
    </row>
    <row r="60" spans="11:13" x14ac:dyDescent="0.15">
      <c r="K60" s="22"/>
      <c r="L60" s="7"/>
      <c r="M60" s="86"/>
    </row>
    <row r="61" spans="11:13" x14ac:dyDescent="0.15">
      <c r="K61" s="22"/>
      <c r="L61" s="7"/>
      <c r="M61" s="86"/>
    </row>
    <row r="62" spans="11:13" x14ac:dyDescent="0.15">
      <c r="K62" s="22"/>
      <c r="L62" s="7"/>
      <c r="M62" s="86"/>
    </row>
    <row r="63" spans="11:13" x14ac:dyDescent="0.15">
      <c r="K63" s="22"/>
      <c r="L63" s="7"/>
      <c r="M63" s="86"/>
    </row>
    <row r="64" spans="11:13" x14ac:dyDescent="0.15">
      <c r="K64" s="22"/>
      <c r="L64" s="7"/>
      <c r="M64" s="86"/>
    </row>
    <row r="65" spans="11:13" x14ac:dyDescent="0.15">
      <c r="K65" s="22"/>
      <c r="L65" s="7"/>
      <c r="M65" s="86"/>
    </row>
    <row r="66" spans="11:13" x14ac:dyDescent="0.15">
      <c r="K66" s="22"/>
      <c r="L66" s="7"/>
      <c r="M66" s="86"/>
    </row>
    <row r="67" spans="11:13" x14ac:dyDescent="0.15">
      <c r="K67" s="22"/>
      <c r="L67" s="7"/>
      <c r="M67" s="86"/>
    </row>
    <row r="68" spans="11:13" x14ac:dyDescent="0.15">
      <c r="K68" s="22"/>
      <c r="L68" s="7"/>
      <c r="M68" s="86"/>
    </row>
    <row r="69" spans="11:13" x14ac:dyDescent="0.15">
      <c r="K69" s="22"/>
      <c r="L69" s="7"/>
      <c r="M69" s="86"/>
    </row>
    <row r="70" spans="11:13" x14ac:dyDescent="0.15">
      <c r="K70" s="22"/>
      <c r="L70" s="22"/>
      <c r="M70" s="22"/>
    </row>
    <row r="71" spans="11:13" x14ac:dyDescent="0.15">
      <c r="K71" s="22"/>
      <c r="L71" s="22"/>
      <c r="M71" s="22"/>
    </row>
    <row r="72" spans="11:13" x14ac:dyDescent="0.15">
      <c r="K72" s="22"/>
      <c r="L72" s="22"/>
      <c r="M72" s="22"/>
    </row>
    <row r="73" spans="11:13" x14ac:dyDescent="0.15">
      <c r="L73" s="142"/>
      <c r="M73" s="142"/>
    </row>
    <row r="74" spans="11:13" x14ac:dyDescent="0.15">
      <c r="L74" s="38"/>
      <c r="M74" s="23"/>
    </row>
    <row r="75" spans="11:13" x14ac:dyDescent="0.15">
      <c r="L75" s="38"/>
      <c r="M75" s="23"/>
    </row>
    <row r="76" spans="11:13" x14ac:dyDescent="0.15">
      <c r="L76" s="38"/>
      <c r="M76" s="23"/>
    </row>
    <row r="77" spans="11:13" x14ac:dyDescent="0.15">
      <c r="L77" s="38"/>
      <c r="M77" s="23"/>
    </row>
    <row r="78" spans="11:13" x14ac:dyDescent="0.15">
      <c r="L78" s="38"/>
      <c r="M78" s="23"/>
    </row>
    <row r="79" spans="11:13" x14ac:dyDescent="0.15">
      <c r="L79" s="38"/>
      <c r="M79" s="23"/>
    </row>
    <row r="80" spans="11:13" x14ac:dyDescent="0.15">
      <c r="L80" s="38"/>
      <c r="M80" s="23"/>
    </row>
    <row r="81" spans="11:13" x14ac:dyDescent="0.15">
      <c r="L81" s="38"/>
      <c r="M81" s="23"/>
    </row>
    <row r="82" spans="11:13" x14ac:dyDescent="0.15">
      <c r="L82" s="38"/>
      <c r="M82" s="23"/>
    </row>
    <row r="83" spans="11:13" x14ac:dyDescent="0.15">
      <c r="L83" s="38"/>
      <c r="M83" s="23"/>
    </row>
    <row r="84" spans="11:13" x14ac:dyDescent="0.15">
      <c r="L84" s="38"/>
      <c r="M84" s="23"/>
    </row>
    <row r="85" spans="11:13" x14ac:dyDescent="0.15">
      <c r="L85" s="38"/>
      <c r="M85" s="23"/>
    </row>
    <row r="86" spans="11:13" x14ac:dyDescent="0.15">
      <c r="L86" s="38"/>
      <c r="M86" s="23"/>
    </row>
    <row r="87" spans="11:13" x14ac:dyDescent="0.15">
      <c r="L87" s="38"/>
      <c r="M87" s="23"/>
    </row>
    <row r="88" spans="11:13" x14ac:dyDescent="0.15">
      <c r="L88" s="38"/>
      <c r="M88" s="23"/>
    </row>
    <row r="89" spans="11:13" x14ac:dyDescent="0.15">
      <c r="L89" s="38"/>
      <c r="M89" s="23"/>
    </row>
    <row r="90" spans="11:13" x14ac:dyDescent="0.15">
      <c r="L90" s="38"/>
      <c r="M90" s="23"/>
    </row>
    <row r="91" spans="11:13" x14ac:dyDescent="0.15">
      <c r="L91" s="38"/>
      <c r="M91" s="23"/>
    </row>
    <row r="92" spans="11:13" x14ac:dyDescent="0.15">
      <c r="K92" s="196"/>
      <c r="L92" s="197"/>
      <c r="M92" s="198"/>
    </row>
    <row r="93" spans="11:13" x14ac:dyDescent="0.15">
      <c r="K93" s="22"/>
      <c r="L93" s="7"/>
      <c r="M93" s="86"/>
    </row>
    <row r="94" spans="11:13" x14ac:dyDescent="0.15">
      <c r="K94" s="199"/>
      <c r="L94" s="200"/>
      <c r="M94" s="201"/>
    </row>
    <row r="95" spans="11:13" x14ac:dyDescent="0.15">
      <c r="L95" s="38"/>
      <c r="M95" s="23"/>
    </row>
  </sheetData>
  <mergeCells count="2">
    <mergeCell ref="A21:C21"/>
    <mergeCell ref="E21:I21"/>
  </mergeCells>
  <phoneticPr fontId="2"/>
  <pageMargins left="0.70866141732283472" right="0.70866141732283472" top="0.74803149606299213" bottom="0.74803149606299213" header="0.31496062992125984" footer="0.31496062992125984"/>
  <pageSetup paperSize="9" scale="6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データ削除6">
                <anchor moveWithCells="1" sizeWithCells="1">
                  <from>
                    <xdr:col>10</xdr:col>
                    <xdr:colOff>295275</xdr:colOff>
                    <xdr:row>4</xdr:row>
                    <xdr:rowOff>9525</xdr:rowOff>
                  </from>
                  <to>
                    <xdr:col>11</xdr:col>
                    <xdr:colOff>1438275</xdr:colOff>
                    <xdr:row>5</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F0"/>
    <pageSetUpPr fitToPage="1"/>
  </sheetPr>
  <dimension ref="A1:T54"/>
  <sheetViews>
    <sheetView showGridLines="0" zoomScaleNormal="100" zoomScaleSheetLayoutView="80" workbookViewId="0">
      <selection activeCell="B14" sqref="B14"/>
    </sheetView>
  </sheetViews>
  <sheetFormatPr defaultColWidth="13.75" defaultRowHeight="18.75" x14ac:dyDescent="0.15"/>
  <cols>
    <col min="1" max="1" width="15.375" style="1" bestFit="1" customWidth="1"/>
    <col min="2" max="3" width="9.375" style="1" customWidth="1"/>
    <col min="4" max="4" width="4.125" style="1" customWidth="1"/>
    <col min="5" max="5" width="15.375" style="1" customWidth="1"/>
    <col min="6" max="9" width="9.375" style="1" customWidth="1"/>
    <col min="10" max="10" width="13.75" style="1"/>
    <col min="11" max="20" width="13.75" style="1" hidden="1" customWidth="1"/>
    <col min="21" max="21" width="13.75" style="1" customWidth="1"/>
    <col min="22" max="16384" width="13.75" style="1"/>
  </cols>
  <sheetData>
    <row r="1" spans="1:17" s="3" customFormat="1" ht="19.5" x14ac:dyDescent="0.15">
      <c r="A1" s="2" t="s">
        <v>84</v>
      </c>
    </row>
    <row r="2" spans="1:17" x14ac:dyDescent="0.15">
      <c r="A2" s="4"/>
      <c r="K2" s="56" t="s">
        <v>63</v>
      </c>
    </row>
    <row r="3" spans="1:17" s="3" customFormat="1" ht="20.25" thickBot="1" x14ac:dyDescent="0.2">
      <c r="A3" s="4" t="s">
        <v>13</v>
      </c>
      <c r="E3" s="4" t="s">
        <v>146</v>
      </c>
      <c r="K3" s="387" t="s">
        <v>298</v>
      </c>
      <c r="L3" s="494" t="s">
        <v>278</v>
      </c>
      <c r="N3" s="387" t="s">
        <v>298</v>
      </c>
      <c r="O3" s="35" t="s">
        <v>276</v>
      </c>
      <c r="P3" s="387" t="s">
        <v>298</v>
      </c>
      <c r="Q3" s="35" t="s">
        <v>277</v>
      </c>
    </row>
    <row r="4" spans="1:17" ht="18" customHeight="1" thickTop="1" thickBot="1" x14ac:dyDescent="0.2">
      <c r="A4" s="314"/>
      <c r="B4" s="315" t="s">
        <v>0</v>
      </c>
      <c r="C4" s="315" t="s">
        <v>1</v>
      </c>
      <c r="E4" s="314"/>
      <c r="F4" s="315" t="s">
        <v>147</v>
      </c>
      <c r="G4" s="315" t="s">
        <v>148</v>
      </c>
      <c r="H4" s="315" t="s">
        <v>12</v>
      </c>
      <c r="I4" s="315" t="s">
        <v>1</v>
      </c>
      <c r="K4" s="420" t="s">
        <v>370</v>
      </c>
      <c r="L4" s="35" t="s">
        <v>581</v>
      </c>
      <c r="N4" s="420" t="s">
        <v>370</v>
      </c>
      <c r="O4" s="35" t="s">
        <v>581</v>
      </c>
      <c r="P4" s="420" t="s">
        <v>370</v>
      </c>
      <c r="Q4" s="35" t="s">
        <v>581</v>
      </c>
    </row>
    <row r="5" spans="1:17" ht="18" customHeight="1" thickTop="1" x14ac:dyDescent="0.15">
      <c r="A5" s="298" t="s">
        <v>2</v>
      </c>
      <c r="B5" s="261">
        <f>IFERROR(VLOOKUP($A5,年齢区分＿1年以上[#All],2,FALSE),0)</f>
        <v>3</v>
      </c>
      <c r="C5" s="300">
        <f>IFERROR(B5/B$14,"-")</f>
        <v>3.3105274773780622E-4</v>
      </c>
      <c r="E5" s="298" t="s">
        <v>2</v>
      </c>
      <c r="F5" s="261">
        <f>IFERROR(VLOOKUP($A5,年齢区分＿1年以上＿寛解[#All],2,FALSE),0)</f>
        <v>0</v>
      </c>
      <c r="G5" s="261">
        <f>IFERROR(VLOOKUP($A5,年齢区分＿1年以上＿院内寛解[#All],2,FALSE),0)</f>
        <v>0</v>
      </c>
      <c r="H5" s="259">
        <f>SUM(F5:G5)</f>
        <v>0</v>
      </c>
      <c r="I5" s="300">
        <f>IFERROR(H5/H$14,"-")</f>
        <v>0</v>
      </c>
      <c r="K5" s="56" t="s">
        <v>2</v>
      </c>
      <c r="L5" s="380">
        <v>3</v>
      </c>
      <c r="M5" s="11"/>
      <c r="N5" s="56" t="s">
        <v>4</v>
      </c>
      <c r="O5" s="380">
        <v>2</v>
      </c>
      <c r="P5" s="56" t="s">
        <v>3</v>
      </c>
      <c r="Q5" s="380">
        <v>2</v>
      </c>
    </row>
    <row r="6" spans="1:17" ht="18" customHeight="1" x14ac:dyDescent="0.15">
      <c r="A6" s="298" t="s">
        <v>3</v>
      </c>
      <c r="B6" s="261">
        <f>IFERROR(VLOOKUP($A6,年齢区分＿1年以上[#All],2,FALSE),0)</f>
        <v>63</v>
      </c>
      <c r="C6" s="300">
        <f t="shared" ref="C6:C13" si="0">IFERROR(B6/B$14,"-")</f>
        <v>6.952107702493931E-3</v>
      </c>
      <c r="E6" s="298" t="s">
        <v>3</v>
      </c>
      <c r="F6" s="261">
        <f>IFERROR(VLOOKUP($A6,年齢区分＿1年以上＿寛解[#All],2,FALSE),0)</f>
        <v>0</v>
      </c>
      <c r="G6" s="261">
        <f>IFERROR(VLOOKUP($A6,年齢区分＿1年以上＿院内寛解[#All],2,FALSE),0)</f>
        <v>2</v>
      </c>
      <c r="H6" s="259">
        <f t="shared" ref="H6:H13" si="1">SUM(F6:G6)</f>
        <v>2</v>
      </c>
      <c r="I6" s="300">
        <f t="shared" ref="I6:I16" si="2">IFERROR(H6/H$14,"-")</f>
        <v>3.616636528028933E-3</v>
      </c>
      <c r="K6" s="56" t="s">
        <v>3</v>
      </c>
      <c r="L6" s="380">
        <v>63</v>
      </c>
      <c r="M6" s="14"/>
      <c r="N6" s="56" t="s">
        <v>5</v>
      </c>
      <c r="O6" s="380">
        <v>7</v>
      </c>
      <c r="P6" s="56" t="s">
        <v>4</v>
      </c>
      <c r="Q6" s="380">
        <v>8</v>
      </c>
    </row>
    <row r="7" spans="1:17" ht="18" customHeight="1" x14ac:dyDescent="0.15">
      <c r="A7" s="298" t="s">
        <v>4</v>
      </c>
      <c r="B7" s="261">
        <f>IFERROR(VLOOKUP($A7,年齢区分＿1年以上[#All],2,FALSE),0)</f>
        <v>248</v>
      </c>
      <c r="C7" s="300">
        <f t="shared" si="0"/>
        <v>2.7367027146325315E-2</v>
      </c>
      <c r="E7" s="298" t="s">
        <v>4</v>
      </c>
      <c r="F7" s="261">
        <f>IFERROR(VLOOKUP($A7,年齢区分＿1年以上＿寛解[#All],2,FALSE),0)</f>
        <v>2</v>
      </c>
      <c r="G7" s="261">
        <f>IFERROR(VLOOKUP($A7,年齢区分＿1年以上＿院内寛解[#All],2,FALSE),0)</f>
        <v>8</v>
      </c>
      <c r="H7" s="259">
        <f t="shared" si="1"/>
        <v>10</v>
      </c>
      <c r="I7" s="300">
        <f t="shared" si="2"/>
        <v>1.8083182640144666E-2</v>
      </c>
      <c r="K7" s="56" t="s">
        <v>4</v>
      </c>
      <c r="L7" s="380">
        <v>248</v>
      </c>
      <c r="M7" s="14"/>
      <c r="N7" s="56" t="s">
        <v>6</v>
      </c>
      <c r="O7" s="380">
        <v>2</v>
      </c>
      <c r="P7" s="56" t="s">
        <v>5</v>
      </c>
      <c r="Q7" s="380">
        <v>50</v>
      </c>
    </row>
    <row r="8" spans="1:17" ht="18" customHeight="1" x14ac:dyDescent="0.15">
      <c r="A8" s="298" t="s">
        <v>5</v>
      </c>
      <c r="B8" s="261">
        <f>IFERROR(VLOOKUP($A8,年齢区分＿1年以上[#All],2,FALSE),0)</f>
        <v>775</v>
      </c>
      <c r="C8" s="300">
        <f t="shared" si="0"/>
        <v>8.5521959832266611E-2</v>
      </c>
      <c r="E8" s="298" t="s">
        <v>5</v>
      </c>
      <c r="F8" s="261">
        <f>IFERROR(VLOOKUP($A8,年齢区分＿1年以上＿寛解[#All],2,FALSE),0)</f>
        <v>7</v>
      </c>
      <c r="G8" s="261">
        <f>IFERROR(VLOOKUP($A8,年齢区分＿1年以上＿院内寛解[#All],2,FALSE),0)</f>
        <v>50</v>
      </c>
      <c r="H8" s="259">
        <f t="shared" si="1"/>
        <v>57</v>
      </c>
      <c r="I8" s="300">
        <f t="shared" si="2"/>
        <v>0.10307414104882459</v>
      </c>
      <c r="K8" s="56" t="s">
        <v>5</v>
      </c>
      <c r="L8" s="380">
        <v>775</v>
      </c>
      <c r="M8" s="17"/>
      <c r="N8" s="56" t="s">
        <v>7</v>
      </c>
      <c r="O8" s="380">
        <v>11</v>
      </c>
      <c r="P8" s="56" t="s">
        <v>6</v>
      </c>
      <c r="Q8" s="380">
        <v>86</v>
      </c>
    </row>
    <row r="9" spans="1:17" ht="18" customHeight="1" x14ac:dyDescent="0.15">
      <c r="A9" s="298" t="s">
        <v>6</v>
      </c>
      <c r="B9" s="261">
        <f>IFERROR(VLOOKUP($A9,年齢区分＿1年以上[#All],2,FALSE),0)</f>
        <v>1517</v>
      </c>
      <c r="C9" s="300">
        <f t="shared" si="0"/>
        <v>0.16740233943941735</v>
      </c>
      <c r="E9" s="298" t="s">
        <v>6</v>
      </c>
      <c r="F9" s="261">
        <f>IFERROR(VLOOKUP($A9,年齢区分＿1年以上＿寛解[#All],2,FALSE),0)</f>
        <v>2</v>
      </c>
      <c r="G9" s="261">
        <f>IFERROR(VLOOKUP($A9,年齢区分＿1年以上＿院内寛解[#All],2,FALSE),0)</f>
        <v>86</v>
      </c>
      <c r="H9" s="259">
        <f t="shared" si="1"/>
        <v>88</v>
      </c>
      <c r="I9" s="300">
        <f t="shared" si="2"/>
        <v>0.15913200723327306</v>
      </c>
      <c r="K9" s="56" t="s">
        <v>6</v>
      </c>
      <c r="L9" s="380">
        <v>1517</v>
      </c>
      <c r="M9" s="17"/>
      <c r="N9" s="56" t="s">
        <v>8</v>
      </c>
      <c r="O9" s="380">
        <v>19</v>
      </c>
      <c r="P9" s="56" t="s">
        <v>7</v>
      </c>
      <c r="Q9" s="380">
        <v>107</v>
      </c>
    </row>
    <row r="10" spans="1:17" ht="18" customHeight="1" x14ac:dyDescent="0.15">
      <c r="A10" s="298" t="s">
        <v>7</v>
      </c>
      <c r="B10" s="261">
        <f>IFERROR(VLOOKUP($A10,年齢区分＿1年以上[#All],2,FALSE),0)</f>
        <v>1718</v>
      </c>
      <c r="C10" s="300">
        <f t="shared" si="0"/>
        <v>0.18958287353785036</v>
      </c>
      <c r="E10" s="298" t="s">
        <v>7</v>
      </c>
      <c r="F10" s="261">
        <f>IFERROR(VLOOKUP($A10,年齢区分＿1年以上＿寛解[#All],2,FALSE),0)</f>
        <v>11</v>
      </c>
      <c r="G10" s="261">
        <f>IFERROR(VLOOKUP($A10,年齢区分＿1年以上＿院内寛解[#All],2,FALSE),0)</f>
        <v>107</v>
      </c>
      <c r="H10" s="259">
        <f t="shared" si="1"/>
        <v>118</v>
      </c>
      <c r="I10" s="300">
        <f t="shared" si="2"/>
        <v>0.21338155515370705</v>
      </c>
      <c r="K10" s="56" t="s">
        <v>7</v>
      </c>
      <c r="L10" s="380">
        <v>1718</v>
      </c>
      <c r="M10" s="17"/>
      <c r="N10" s="56" t="s">
        <v>9</v>
      </c>
      <c r="O10" s="380">
        <v>9</v>
      </c>
      <c r="P10" s="56" t="s">
        <v>8</v>
      </c>
      <c r="Q10" s="380">
        <v>150</v>
      </c>
    </row>
    <row r="11" spans="1:17" ht="18" customHeight="1" x14ac:dyDescent="0.15">
      <c r="A11" s="298" t="s">
        <v>8</v>
      </c>
      <c r="B11" s="261">
        <f>IFERROR(VLOOKUP($A11,年齢区分＿1年以上[#All],2,FALSE),0)</f>
        <v>2479</v>
      </c>
      <c r="C11" s="300">
        <f t="shared" si="0"/>
        <v>0.27355992054734052</v>
      </c>
      <c r="E11" s="298" t="s">
        <v>8</v>
      </c>
      <c r="F11" s="261">
        <f>IFERROR(VLOOKUP($A11,年齢区分＿1年以上＿寛解[#All],2,FALSE),0)</f>
        <v>19</v>
      </c>
      <c r="G11" s="261">
        <f>IFERROR(VLOOKUP($A11,年齢区分＿1年以上＿院内寛解[#All],2,FALSE),0)</f>
        <v>150</v>
      </c>
      <c r="H11" s="259">
        <f t="shared" si="1"/>
        <v>169</v>
      </c>
      <c r="I11" s="300">
        <f t="shared" si="2"/>
        <v>0.30560578661844484</v>
      </c>
      <c r="K11" s="56" t="s">
        <v>8</v>
      </c>
      <c r="L11" s="380">
        <v>2479</v>
      </c>
      <c r="M11" s="17"/>
      <c r="N11" s="56" t="s">
        <v>10</v>
      </c>
      <c r="O11" s="380">
        <v>2</v>
      </c>
      <c r="P11" s="56" t="s">
        <v>9</v>
      </c>
      <c r="Q11" s="380">
        <v>82</v>
      </c>
    </row>
    <row r="12" spans="1:17" ht="18" customHeight="1" x14ac:dyDescent="0.15">
      <c r="A12" s="298" t="s">
        <v>9</v>
      </c>
      <c r="B12" s="261">
        <f>IFERROR(VLOOKUP($A12,年齢区分＿1年以上[#All],2,FALSE),0)</f>
        <v>1819</v>
      </c>
      <c r="C12" s="300">
        <f t="shared" si="0"/>
        <v>0.20072831604502317</v>
      </c>
      <c r="E12" s="298" t="s">
        <v>9</v>
      </c>
      <c r="F12" s="261">
        <f>IFERROR(VLOOKUP($A12,年齢区分＿1年以上＿寛解[#All],2,FALSE),0)</f>
        <v>9</v>
      </c>
      <c r="G12" s="261">
        <f>IFERROR(VLOOKUP($A12,年齢区分＿1年以上＿院内寛解[#All],2,FALSE),0)</f>
        <v>82</v>
      </c>
      <c r="H12" s="259">
        <f t="shared" si="1"/>
        <v>91</v>
      </c>
      <c r="I12" s="300">
        <f t="shared" si="2"/>
        <v>0.16455696202531644</v>
      </c>
      <c r="K12" s="56" t="s">
        <v>9</v>
      </c>
      <c r="L12" s="380">
        <v>1819</v>
      </c>
      <c r="M12" s="17"/>
      <c r="N12" s="56"/>
      <c r="O12" s="380"/>
      <c r="P12" s="56" t="s">
        <v>10</v>
      </c>
      <c r="Q12" s="380">
        <v>16</v>
      </c>
    </row>
    <row r="13" spans="1:17" ht="18" customHeight="1" x14ac:dyDescent="0.15">
      <c r="A13" s="298" t="s">
        <v>10</v>
      </c>
      <c r="B13" s="261">
        <f>IFERROR(VLOOKUP($A13,年齢区分＿1年以上[#All],2,FALSE),0)</f>
        <v>440</v>
      </c>
      <c r="C13" s="300">
        <f t="shared" si="0"/>
        <v>4.8554403001544913E-2</v>
      </c>
      <c r="E13" s="298" t="s">
        <v>10</v>
      </c>
      <c r="F13" s="261">
        <f>IFERROR(VLOOKUP($A13,年齢区分＿1年以上＿寛解[#All],2,FALSE),0)</f>
        <v>2</v>
      </c>
      <c r="G13" s="261">
        <f>IFERROR(VLOOKUP($A13,年齢区分＿1年以上＿院内寛解[#All],2,FALSE),0)</f>
        <v>16</v>
      </c>
      <c r="H13" s="259">
        <f t="shared" si="1"/>
        <v>18</v>
      </c>
      <c r="I13" s="300">
        <f t="shared" si="2"/>
        <v>3.25497287522604E-2</v>
      </c>
      <c r="K13" s="56" t="s">
        <v>10</v>
      </c>
      <c r="L13" s="380">
        <v>440</v>
      </c>
      <c r="M13" s="17"/>
      <c r="N13" s="56"/>
      <c r="O13" s="380"/>
      <c r="P13" s="56"/>
      <c r="Q13" s="380"/>
    </row>
    <row r="14" spans="1:17" ht="18" customHeight="1" thickBot="1" x14ac:dyDescent="0.2">
      <c r="A14" s="316" t="s">
        <v>11</v>
      </c>
      <c r="B14" s="317">
        <f>SUM(B5:B13)</f>
        <v>9062</v>
      </c>
      <c r="C14" s="318">
        <f>SUM(C5:C13)</f>
        <v>1</v>
      </c>
      <c r="E14" s="316" t="s">
        <v>11</v>
      </c>
      <c r="F14" s="317">
        <f>SUM(F5:F13)</f>
        <v>52</v>
      </c>
      <c r="G14" s="317">
        <f t="shared" ref="G14" si="3">SUM(G5:G13)</f>
        <v>501</v>
      </c>
      <c r="H14" s="317">
        <f>SUM(H5:H13)</f>
        <v>553</v>
      </c>
      <c r="I14" s="318">
        <f>SUM(I5:I13)</f>
        <v>0.99999999999999989</v>
      </c>
      <c r="K14" s="56" t="s">
        <v>588</v>
      </c>
      <c r="L14" s="380"/>
      <c r="M14" s="17"/>
      <c r="N14" s="15"/>
      <c r="O14" s="61"/>
      <c r="P14" s="15"/>
      <c r="Q14" s="61"/>
    </row>
    <row r="15" spans="1:17" s="3" customFormat="1" ht="18" customHeight="1" thickTop="1" thickBot="1" x14ac:dyDescent="0.2">
      <c r="A15" s="312" t="s">
        <v>92</v>
      </c>
      <c r="B15" s="303">
        <f>B14-B16</f>
        <v>3398</v>
      </c>
      <c r="C15" s="471">
        <f t="shared" ref="C15:C16" si="4">IFERROR(B15/B$14,"-")</f>
        <v>0.37497241227102185</v>
      </c>
      <c r="D15" s="22"/>
      <c r="E15" s="312" t="s">
        <v>92</v>
      </c>
      <c r="F15" s="303">
        <f t="shared" ref="F15:G15" si="5">F14-F16</f>
        <v>15</v>
      </c>
      <c r="G15" s="303">
        <f t="shared" si="5"/>
        <v>199</v>
      </c>
      <c r="H15" s="313">
        <f>SUM(F15:G15)</f>
        <v>214</v>
      </c>
      <c r="I15" s="471">
        <f t="shared" si="2"/>
        <v>0.38698010849909587</v>
      </c>
      <c r="K15" s="379" t="s">
        <v>89</v>
      </c>
      <c r="L15" s="500">
        <v>5664</v>
      </c>
      <c r="M15" s="9"/>
      <c r="N15" s="379" t="s">
        <v>89</v>
      </c>
      <c r="O15" s="500">
        <v>37</v>
      </c>
      <c r="P15" s="379" t="s">
        <v>89</v>
      </c>
      <c r="Q15" s="500">
        <v>302</v>
      </c>
    </row>
    <row r="16" spans="1:17" ht="18" customHeight="1" thickTop="1" x14ac:dyDescent="0.15">
      <c r="A16" s="302" t="s">
        <v>91</v>
      </c>
      <c r="B16" s="303">
        <f>L15</f>
        <v>5664</v>
      </c>
      <c r="C16" s="471">
        <f t="shared" si="4"/>
        <v>0.62502758772897815</v>
      </c>
      <c r="D16" s="22"/>
      <c r="E16" s="302" t="s">
        <v>91</v>
      </c>
      <c r="F16" s="313">
        <f>O15</f>
        <v>37</v>
      </c>
      <c r="G16" s="313">
        <f>Q15</f>
        <v>302</v>
      </c>
      <c r="H16" s="313">
        <f>SUM(F16:G16)</f>
        <v>339</v>
      </c>
      <c r="I16" s="471">
        <f t="shared" si="2"/>
        <v>0.61301989150090419</v>
      </c>
      <c r="K16" s="22"/>
      <c r="L16" s="22"/>
      <c r="M16" s="22"/>
      <c r="N16" s="22"/>
    </row>
    <row r="17" spans="1:14" x14ac:dyDescent="0.15">
      <c r="K17" s="22"/>
      <c r="L17" s="22"/>
      <c r="M17" s="22"/>
      <c r="N17" s="22"/>
    </row>
    <row r="18" spans="1:14" ht="13.5" customHeight="1" x14ac:dyDescent="0.15">
      <c r="K18" s="46"/>
      <c r="L18" s="47"/>
      <c r="M18" s="47"/>
      <c r="N18" s="22"/>
    </row>
    <row r="19" spans="1:14" x14ac:dyDescent="0.15">
      <c r="K19" s="7"/>
      <c r="L19" s="8"/>
      <c r="M19" s="49"/>
      <c r="N19" s="22"/>
    </row>
    <row r="20" spans="1:14" x14ac:dyDescent="0.15">
      <c r="K20" s="7"/>
      <c r="L20" s="8"/>
      <c r="M20" s="49"/>
      <c r="N20" s="22"/>
    </row>
    <row r="21" spans="1:14" x14ac:dyDescent="0.15">
      <c r="K21" s="7"/>
      <c r="L21" s="8"/>
      <c r="M21" s="49"/>
      <c r="N21" s="22"/>
    </row>
    <row r="22" spans="1:14" x14ac:dyDescent="0.15">
      <c r="K22" s="7"/>
      <c r="L22" s="8"/>
      <c r="M22" s="49"/>
      <c r="N22" s="22"/>
    </row>
    <row r="23" spans="1:14" x14ac:dyDescent="0.15">
      <c r="K23" s="7"/>
      <c r="L23" s="8"/>
      <c r="M23" s="49"/>
      <c r="N23" s="22"/>
    </row>
    <row r="24" spans="1:14" x14ac:dyDescent="0.15">
      <c r="K24" s="7"/>
      <c r="L24" s="8"/>
      <c r="M24" s="49"/>
      <c r="N24" s="22"/>
    </row>
    <row r="25" spans="1:14" x14ac:dyDescent="0.15">
      <c r="K25" s="7"/>
      <c r="L25" s="8"/>
      <c r="M25" s="49"/>
      <c r="N25" s="22"/>
    </row>
    <row r="26" spans="1:14" x14ac:dyDescent="0.15">
      <c r="K26" s="7"/>
      <c r="L26" s="8"/>
      <c r="M26" s="49"/>
      <c r="N26" s="22"/>
    </row>
    <row r="27" spans="1:14" x14ac:dyDescent="0.15">
      <c r="B27" s="38"/>
      <c r="K27" s="7"/>
      <c r="L27" s="51"/>
      <c r="M27" s="52"/>
      <c r="N27" s="22"/>
    </row>
    <row r="28" spans="1:14" x14ac:dyDescent="0.15">
      <c r="K28" s="50"/>
      <c r="L28" s="51"/>
      <c r="M28" s="52"/>
      <c r="N28" s="22"/>
    </row>
    <row r="29" spans="1:14" x14ac:dyDescent="0.15">
      <c r="K29" s="22"/>
      <c r="L29" s="22"/>
      <c r="M29" s="22"/>
      <c r="N29" s="22"/>
    </row>
    <row r="30" spans="1:14" x14ac:dyDescent="0.15">
      <c r="K30" s="7"/>
      <c r="L30" s="22"/>
      <c r="M30" s="22"/>
      <c r="N30" s="22"/>
    </row>
    <row r="31" spans="1:14" x14ac:dyDescent="0.15">
      <c r="A31" s="38"/>
      <c r="B31" s="23"/>
      <c r="K31" s="46"/>
      <c r="L31" s="47"/>
      <c r="M31" s="47"/>
      <c r="N31" s="22"/>
    </row>
    <row r="32" spans="1:14" x14ac:dyDescent="0.15">
      <c r="A32" s="38"/>
      <c r="B32" s="23"/>
      <c r="K32" s="7"/>
      <c r="L32" s="8"/>
      <c r="M32" s="49"/>
      <c r="N32" s="22"/>
    </row>
    <row r="33" spans="1:14" x14ac:dyDescent="0.15">
      <c r="A33" s="38"/>
      <c r="B33" s="23"/>
      <c r="K33" s="7"/>
      <c r="L33" s="8"/>
      <c r="M33" s="49"/>
      <c r="N33" s="22"/>
    </row>
    <row r="34" spans="1:14" x14ac:dyDescent="0.15">
      <c r="K34" s="7"/>
      <c r="L34" s="8"/>
      <c r="M34" s="49"/>
      <c r="N34" s="22"/>
    </row>
    <row r="35" spans="1:14" x14ac:dyDescent="0.15">
      <c r="K35" s="7"/>
      <c r="L35" s="8"/>
      <c r="M35" s="49"/>
      <c r="N35" s="22"/>
    </row>
    <row r="36" spans="1:14" x14ac:dyDescent="0.15">
      <c r="K36" s="7"/>
      <c r="L36" s="8"/>
      <c r="M36" s="49"/>
      <c r="N36" s="22"/>
    </row>
    <row r="37" spans="1:14" x14ac:dyDescent="0.15">
      <c r="K37" s="7"/>
      <c r="L37" s="8"/>
      <c r="M37" s="49"/>
      <c r="N37" s="22"/>
    </row>
    <row r="38" spans="1:14" x14ac:dyDescent="0.15">
      <c r="K38" s="7"/>
      <c r="L38" s="8"/>
      <c r="M38" s="49"/>
      <c r="N38" s="22"/>
    </row>
    <row r="39" spans="1:14" x14ac:dyDescent="0.15">
      <c r="K39" s="7"/>
      <c r="L39" s="8"/>
      <c r="M39" s="49"/>
      <c r="N39" s="22"/>
    </row>
    <row r="40" spans="1:14" x14ac:dyDescent="0.15">
      <c r="K40" s="7"/>
      <c r="L40" s="8"/>
      <c r="M40" s="49"/>
      <c r="N40" s="22"/>
    </row>
    <row r="41" spans="1:14" x14ac:dyDescent="0.15">
      <c r="K41" s="50"/>
      <c r="L41" s="51"/>
      <c r="M41" s="52"/>
      <c r="N41" s="22"/>
    </row>
    <row r="42" spans="1:14" x14ac:dyDescent="0.15">
      <c r="K42" s="22"/>
      <c r="L42" s="22"/>
      <c r="M42" s="22"/>
      <c r="N42" s="22"/>
    </row>
    <row r="43" spans="1:14" x14ac:dyDescent="0.15">
      <c r="K43" s="22"/>
      <c r="L43" s="22"/>
      <c r="M43" s="22"/>
      <c r="N43" s="22"/>
    </row>
    <row r="44" spans="1:14" x14ac:dyDescent="0.15">
      <c r="K44" s="22"/>
      <c r="L44" s="22"/>
      <c r="M44" s="22"/>
      <c r="N44" s="22"/>
    </row>
    <row r="45" spans="1:14" x14ac:dyDescent="0.15">
      <c r="K45" s="22"/>
      <c r="L45" s="22"/>
      <c r="M45" s="22"/>
      <c r="N45" s="22"/>
    </row>
    <row r="46" spans="1:14" x14ac:dyDescent="0.15">
      <c r="K46" s="22"/>
      <c r="L46" s="22"/>
      <c r="M46" s="22"/>
      <c r="N46" s="22"/>
    </row>
    <row r="47" spans="1:14" x14ac:dyDescent="0.15">
      <c r="K47" s="22"/>
      <c r="L47" s="22"/>
      <c r="M47" s="22"/>
      <c r="N47" s="22"/>
    </row>
    <row r="48" spans="1:14" x14ac:dyDescent="0.15">
      <c r="K48" s="22"/>
      <c r="L48" s="22"/>
      <c r="M48" s="22"/>
      <c r="N48" s="22"/>
    </row>
    <row r="49" spans="11:14" x14ac:dyDescent="0.15">
      <c r="K49" s="22"/>
      <c r="L49" s="22"/>
      <c r="M49" s="22"/>
      <c r="N49" s="22"/>
    </row>
    <row r="50" spans="11:14" x14ac:dyDescent="0.15">
      <c r="K50" s="22"/>
      <c r="L50" s="22"/>
      <c r="M50" s="22"/>
      <c r="N50" s="22"/>
    </row>
    <row r="51" spans="11:14" x14ac:dyDescent="0.15">
      <c r="K51" s="22"/>
      <c r="L51" s="22"/>
      <c r="M51" s="22"/>
      <c r="N51" s="22"/>
    </row>
    <row r="52" spans="11:14" x14ac:dyDescent="0.15">
      <c r="K52" s="22"/>
      <c r="L52" s="22"/>
      <c r="M52" s="22"/>
      <c r="N52" s="22"/>
    </row>
    <row r="53" spans="11:14" x14ac:dyDescent="0.15">
      <c r="K53" s="22"/>
      <c r="L53" s="22"/>
      <c r="M53" s="22"/>
      <c r="N53" s="22"/>
    </row>
    <row r="54" spans="11:14" x14ac:dyDescent="0.15">
      <c r="K54" s="22"/>
      <c r="L54" s="22"/>
      <c r="M54" s="22"/>
      <c r="N54" s="22"/>
    </row>
  </sheetData>
  <phoneticPr fontId="2"/>
  <pageMargins left="0.70866141732283472" right="0.70866141732283472" top="0.74803149606299213" bottom="0.74803149606299213" header="0.31496062992125984" footer="0.31496062992125984"/>
  <pageSetup paperSize="11" scale="97" orientation="landscape" r:id="rId1"/>
  <ignoredErrors>
    <ignoredError sqref="C14 H14:I1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データ削除7">
                <anchor moveWithCells="1" sizeWithCells="1">
                  <from>
                    <xdr:col>17</xdr:col>
                    <xdr:colOff>704850</xdr:colOff>
                    <xdr:row>3</xdr:row>
                    <xdr:rowOff>76200</xdr:rowOff>
                  </from>
                  <to>
                    <xdr:col>19</xdr:col>
                    <xdr:colOff>161925</xdr:colOff>
                    <xdr:row>5</xdr:row>
                    <xdr:rowOff>114300</xdr:rowOff>
                  </to>
                </anchor>
              </controlPr>
            </control>
          </mc:Choice>
        </mc:AlternateContent>
      </controls>
    </mc:Choice>
  </mc:AlternateContent>
  <tableParts count="3">
    <tablePart r:id="rId5"/>
    <tablePart r:id="rId6"/>
    <tablePart r:id="rId7"/>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F0"/>
    <pageSetUpPr fitToPage="1"/>
  </sheetPr>
  <dimension ref="A1:L40"/>
  <sheetViews>
    <sheetView showGridLines="0" zoomScaleNormal="100" zoomScaleSheetLayoutView="80" workbookViewId="0">
      <selection activeCell="D20" sqref="D20"/>
    </sheetView>
  </sheetViews>
  <sheetFormatPr defaultRowHeight="18.75" x14ac:dyDescent="0.15"/>
  <cols>
    <col min="1" max="1" width="22.125" style="1" customWidth="1"/>
    <col min="2" max="5" width="9.375" style="1" customWidth="1"/>
    <col min="6" max="6" width="5.875" style="1" bestFit="1" customWidth="1"/>
    <col min="7" max="7" width="20.75" style="1" hidden="1" customWidth="1"/>
    <col min="8" max="8" width="9.375" style="1" hidden="1" customWidth="1"/>
    <col min="9" max="9" width="9.125" style="1" hidden="1" customWidth="1"/>
    <col min="10" max="10" width="20.625" style="1" hidden="1" customWidth="1"/>
    <col min="11" max="11" width="9.375" style="1" hidden="1" customWidth="1"/>
    <col min="12" max="12" width="6.75" style="1" hidden="1" customWidth="1"/>
    <col min="13" max="13" width="7.375" style="1" customWidth="1"/>
    <col min="14" max="14" width="5" style="1" customWidth="1"/>
    <col min="15" max="15" width="6.625" style="1" customWidth="1"/>
    <col min="16" max="16" width="7.375" style="1" customWidth="1"/>
    <col min="17" max="16384" width="9" style="1"/>
  </cols>
  <sheetData>
    <row r="1" spans="1:11" s="3" customFormat="1" ht="19.5" x14ac:dyDescent="0.15">
      <c r="A1" s="2" t="s">
        <v>149</v>
      </c>
    </row>
    <row r="2" spans="1:11" x14ac:dyDescent="0.15">
      <c r="A2" s="4"/>
      <c r="G2" s="56" t="s">
        <v>63</v>
      </c>
    </row>
    <row r="3" spans="1:11" s="3" customFormat="1" ht="20.25" thickBot="1" x14ac:dyDescent="0.2">
      <c r="A3" s="4" t="s">
        <v>13</v>
      </c>
      <c r="G3" s="387" t="s">
        <v>281</v>
      </c>
      <c r="H3" s="494" t="s">
        <v>0</v>
      </c>
      <c r="I3" s="1"/>
      <c r="J3" s="1"/>
    </row>
    <row r="4" spans="1:11" ht="20.25" thickTop="1" thickBot="1" x14ac:dyDescent="0.2">
      <c r="A4" s="314"/>
      <c r="B4" s="314" t="s">
        <v>0</v>
      </c>
      <c r="C4" s="314" t="s">
        <v>1</v>
      </c>
      <c r="G4" s="421" t="s">
        <v>370</v>
      </c>
      <c r="H4" s="142" t="s">
        <v>582</v>
      </c>
      <c r="J4" s="37"/>
    </row>
    <row r="5" spans="1:11" ht="19.5" thickTop="1" x14ac:dyDescent="0.15">
      <c r="A5" s="298" t="s">
        <v>14</v>
      </c>
      <c r="B5" s="261">
        <f>IFERROR(VLOOKUP("措置入院",入院形態＿1年以上[#All],2,FALSE),0)+IFERROR(VLOOKUP("緊急措置入院",入院形態＿1年以上[#All],2,FALSE),0)</f>
        <v>2</v>
      </c>
      <c r="C5" s="300">
        <f>IFERROR(B5/B$10,"-")</f>
        <v>2.2070183182520416E-4</v>
      </c>
      <c r="G5" s="40" t="s">
        <v>16</v>
      </c>
      <c r="H5" s="41">
        <v>4262</v>
      </c>
      <c r="J5" s="42"/>
    </row>
    <row r="6" spans="1:11" x14ac:dyDescent="0.15">
      <c r="A6" s="298" t="s">
        <v>15</v>
      </c>
      <c r="B6" s="261">
        <f>IFERROR(VLOOKUP(A6,入院形態＿1年以上[#All],2,FALSE),0)</f>
        <v>4773</v>
      </c>
      <c r="C6" s="300">
        <f t="shared" ref="C6:C9" si="0">IFERROR(B6/B$10,"-")</f>
        <v>0.5267049216508497</v>
      </c>
      <c r="G6" s="40" t="s">
        <v>371</v>
      </c>
      <c r="H6" s="41">
        <v>2</v>
      </c>
      <c r="J6" s="42"/>
    </row>
    <row r="7" spans="1:11" x14ac:dyDescent="0.15">
      <c r="A7" s="298" t="s">
        <v>16</v>
      </c>
      <c r="B7" s="261">
        <f>IFERROR(VLOOKUP(A7,入院形態＿1年以上[#All],2,FALSE),0)</f>
        <v>4262</v>
      </c>
      <c r="C7" s="300">
        <f t="shared" si="0"/>
        <v>0.47031560361951003</v>
      </c>
      <c r="G7" s="40" t="s">
        <v>15</v>
      </c>
      <c r="H7" s="41">
        <v>4773</v>
      </c>
      <c r="J7" s="42"/>
    </row>
    <row r="8" spans="1:11" x14ac:dyDescent="0.15">
      <c r="A8" s="298" t="s">
        <v>17</v>
      </c>
      <c r="B8" s="261">
        <f>IFERROR(VLOOKUP(A8,入院形態＿1年以上[#All],2,FALSE),0)</f>
        <v>0</v>
      </c>
      <c r="C8" s="300">
        <f t="shared" si="0"/>
        <v>0</v>
      </c>
      <c r="G8" s="40" t="s">
        <v>373</v>
      </c>
      <c r="H8" s="41">
        <v>25</v>
      </c>
      <c r="J8" s="42"/>
    </row>
    <row r="9" spans="1:11" x14ac:dyDescent="0.15">
      <c r="A9" s="298" t="s">
        <v>18</v>
      </c>
      <c r="B9" s="261">
        <f>IFERROR(VLOOKUP("鑑定入院",入院形態＿1年以上[#All],2,FALSE),0)+IFERROR(VLOOKUP("医療観察法による入院",入院形態＿1年以上[#All],2,FALSE),0)</f>
        <v>25</v>
      </c>
      <c r="C9" s="300">
        <f t="shared" si="0"/>
        <v>2.758772897815052E-3</v>
      </c>
      <c r="G9" s="40"/>
      <c r="H9" s="41"/>
    </row>
    <row r="10" spans="1:11" x14ac:dyDescent="0.15">
      <c r="A10" s="316" t="s">
        <v>11</v>
      </c>
      <c r="B10" s="317">
        <f>SUM(B5:B9)</f>
        <v>9062</v>
      </c>
      <c r="C10" s="318">
        <f>SUM(C5:C9)</f>
        <v>0.99999999999999989</v>
      </c>
      <c r="G10" s="43"/>
      <c r="H10" s="41"/>
    </row>
    <row r="11" spans="1:11" x14ac:dyDescent="0.15">
      <c r="A11" s="38"/>
      <c r="B11" s="44"/>
      <c r="C11" s="45"/>
      <c r="G11" s="43"/>
      <c r="H11" s="41"/>
    </row>
    <row r="12" spans="1:11" x14ac:dyDescent="0.15">
      <c r="A12" s="38"/>
      <c r="B12" s="44"/>
      <c r="C12" s="45"/>
      <c r="G12" s="43"/>
      <c r="H12" s="386"/>
    </row>
    <row r="13" spans="1:11" x14ac:dyDescent="0.15">
      <c r="A13" s="38"/>
      <c r="B13" s="44"/>
      <c r="C13" s="45"/>
      <c r="G13" s="43"/>
      <c r="H13" s="386"/>
    </row>
    <row r="14" spans="1:11" s="3" customFormat="1" ht="19.5" x14ac:dyDescent="0.15">
      <c r="A14" s="4" t="s">
        <v>150</v>
      </c>
      <c r="G14" s="43"/>
      <c r="H14" s="386"/>
      <c r="I14" s="1"/>
      <c r="J14" s="1"/>
      <c r="K14" s="1"/>
    </row>
    <row r="15" spans="1:11" ht="19.5" thickBot="1" x14ac:dyDescent="0.2">
      <c r="A15" s="314"/>
      <c r="B15" s="314" t="s">
        <v>151</v>
      </c>
      <c r="C15" s="314" t="s">
        <v>152</v>
      </c>
      <c r="D15" s="314" t="s">
        <v>12</v>
      </c>
      <c r="E15" s="314" t="s">
        <v>1</v>
      </c>
      <c r="G15" s="496" t="s">
        <v>281</v>
      </c>
      <c r="H15" s="494" t="s">
        <v>28</v>
      </c>
      <c r="J15" s="496" t="s">
        <v>281</v>
      </c>
      <c r="K15" s="494" t="s">
        <v>282</v>
      </c>
    </row>
    <row r="16" spans="1:11" ht="21" thickTop="1" thickBot="1" x14ac:dyDescent="0.2">
      <c r="A16" s="298" t="s">
        <v>14</v>
      </c>
      <c r="B16" s="259">
        <f>IFERROR(VLOOKUP("措置入院",入院形態＿1年以上＿寛解[#All],2,FALSE),0)+IFERROR(VLOOKUP("緊急措置入院",入院形態＿1年以上＿寛解[#All],2,FALSE),0)</f>
        <v>0</v>
      </c>
      <c r="C16" s="259">
        <f>IFERROR(VLOOKUP("措置入院",入院形態＿1年以上＿院内寛解[#All],2,FALSE),0)+IFERROR(VLOOKUP("緊急措置入院",入院形態＿1年以上＿院内寛解[#All],2,FALSE),0)</f>
        <v>0</v>
      </c>
      <c r="D16" s="259">
        <f>SUM(B16:C16)</f>
        <v>0</v>
      </c>
      <c r="E16" s="300">
        <f>IFERROR(D16/D$21,"-")</f>
        <v>0</v>
      </c>
      <c r="G16" s="421" t="s">
        <v>370</v>
      </c>
      <c r="H16" s="142" t="s">
        <v>582</v>
      </c>
      <c r="I16" s="3"/>
      <c r="J16" s="421" t="s">
        <v>370</v>
      </c>
      <c r="K16" s="142" t="s">
        <v>582</v>
      </c>
    </row>
    <row r="17" spans="1:11" ht="19.5" thickTop="1" x14ac:dyDescent="0.15">
      <c r="A17" s="298" t="s">
        <v>15</v>
      </c>
      <c r="B17" s="259">
        <f>IFERROR(VLOOKUP($A17,入院形態＿1年以上＿寛解[#All],2,FALSE),0)</f>
        <v>11</v>
      </c>
      <c r="C17" s="259">
        <f>IFERROR(VLOOKUP($A17,入院形態＿1年以上＿院内寛解[#All],2,FALSE),0)</f>
        <v>126</v>
      </c>
      <c r="D17" s="259">
        <f t="shared" ref="D17:D20" si="1">SUM(B17:C17)</f>
        <v>137</v>
      </c>
      <c r="E17" s="300">
        <f t="shared" ref="E17:E20" si="2">IFERROR(D17/D$21,"-")</f>
        <v>0.24773960216998192</v>
      </c>
      <c r="G17" s="40" t="s">
        <v>16</v>
      </c>
      <c r="H17" s="41">
        <v>40</v>
      </c>
      <c r="J17" s="40" t="s">
        <v>16</v>
      </c>
      <c r="K17" s="41">
        <v>374</v>
      </c>
    </row>
    <row r="18" spans="1:11" x14ac:dyDescent="0.15">
      <c r="A18" s="298" t="s">
        <v>16</v>
      </c>
      <c r="B18" s="259">
        <f>IFERROR(VLOOKUP($A18,入院形態＿1年以上＿寛解[#All],2,FALSE),0)</f>
        <v>40</v>
      </c>
      <c r="C18" s="259">
        <f>IFERROR(VLOOKUP($A18,入院形態＿1年以上＿院内寛解[#All],2,FALSE),0)</f>
        <v>374</v>
      </c>
      <c r="D18" s="259">
        <f t="shared" si="1"/>
        <v>414</v>
      </c>
      <c r="E18" s="300">
        <f t="shared" si="2"/>
        <v>0.74864376130198917</v>
      </c>
      <c r="G18" s="40" t="s">
        <v>15</v>
      </c>
      <c r="H18" s="48">
        <v>11</v>
      </c>
      <c r="I18" s="22"/>
      <c r="J18" s="40" t="s">
        <v>15</v>
      </c>
      <c r="K18" s="48">
        <v>126</v>
      </c>
    </row>
    <row r="19" spans="1:11" x14ac:dyDescent="0.15">
      <c r="A19" s="298" t="s">
        <v>17</v>
      </c>
      <c r="B19" s="259">
        <f>IFERROR(VLOOKUP($A19,入院形態＿1年以上＿寛解[#All],2,FALSE),0)</f>
        <v>0</v>
      </c>
      <c r="C19" s="259">
        <f>IFERROR(VLOOKUP($A19,入院形態＿1年以上＿院内寛解[#All],2,FALSE),0)</f>
        <v>0</v>
      </c>
      <c r="D19" s="259">
        <f t="shared" si="1"/>
        <v>0</v>
      </c>
      <c r="E19" s="300">
        <f t="shared" si="2"/>
        <v>0</v>
      </c>
      <c r="G19" s="40" t="s">
        <v>373</v>
      </c>
      <c r="H19" s="48">
        <v>1</v>
      </c>
      <c r="I19" s="22"/>
      <c r="J19" s="40" t="s">
        <v>373</v>
      </c>
      <c r="K19" s="48">
        <v>1</v>
      </c>
    </row>
    <row r="20" spans="1:11" x14ac:dyDescent="0.15">
      <c r="A20" s="298" t="s">
        <v>18</v>
      </c>
      <c r="B20" s="259">
        <f>IFERROR(VLOOKUP("鑑定入院",入院形態＿1年以上＿寛解[#All],2,FALSE),0)+IFERROR(VLOOKUP("医療観察法による入院",入院形態＿1年以上＿寛解[#All],2,FALSE),0)</f>
        <v>1</v>
      </c>
      <c r="C20" s="259">
        <f>IFERROR(VLOOKUP("鑑定入院",入院形態＿1年以上＿院内寛解[#All],2,FALSE),0)+IFERROR(VLOOKUP("医療観察法による入院",入院形態＿1年以上＿院内寛解[#All],2,FALSE),0)</f>
        <v>1</v>
      </c>
      <c r="D20" s="259">
        <f t="shared" si="1"/>
        <v>2</v>
      </c>
      <c r="E20" s="300">
        <f t="shared" si="2"/>
        <v>3.616636528028933E-3</v>
      </c>
      <c r="G20" s="40"/>
      <c r="H20" s="48"/>
      <c r="I20" s="22"/>
      <c r="J20" s="40"/>
      <c r="K20" s="48"/>
    </row>
    <row r="21" spans="1:11" x14ac:dyDescent="0.15">
      <c r="A21" s="316" t="s">
        <v>11</v>
      </c>
      <c r="B21" s="317">
        <f>SUM(B16:B20)</f>
        <v>52</v>
      </c>
      <c r="C21" s="317">
        <f>SUM(C16:C20)</f>
        <v>501</v>
      </c>
      <c r="D21" s="317">
        <f>SUM(D16:D20)</f>
        <v>553</v>
      </c>
      <c r="E21" s="318">
        <f>SUM(E16:E20)</f>
        <v>1</v>
      </c>
      <c r="G21" s="40"/>
      <c r="H21" s="48"/>
      <c r="I21" s="22"/>
      <c r="J21" s="40"/>
      <c r="K21" s="48"/>
    </row>
    <row r="22" spans="1:11" x14ac:dyDescent="0.15">
      <c r="G22" s="43"/>
      <c r="H22" s="48"/>
      <c r="J22" s="43"/>
      <c r="K22" s="48"/>
    </row>
    <row r="23" spans="1:11" x14ac:dyDescent="0.15">
      <c r="G23" s="43"/>
      <c r="H23" s="48"/>
      <c r="J23" s="43"/>
      <c r="K23" s="48"/>
    </row>
    <row r="25" spans="1:11" x14ac:dyDescent="0.15">
      <c r="G25" s="22"/>
      <c r="H25" s="22"/>
      <c r="I25" s="22"/>
      <c r="J25" s="22"/>
    </row>
    <row r="26" spans="1:11" x14ac:dyDescent="0.15">
      <c r="G26" s="22"/>
      <c r="H26" s="22"/>
      <c r="I26" s="22"/>
      <c r="J26" s="22"/>
    </row>
    <row r="27" spans="1:11" x14ac:dyDescent="0.15">
      <c r="G27" s="22"/>
      <c r="H27" s="22"/>
      <c r="I27" s="22"/>
      <c r="J27" s="22"/>
    </row>
    <row r="28" spans="1:11" x14ac:dyDescent="0.15">
      <c r="G28" s="22"/>
      <c r="H28" s="22"/>
      <c r="I28" s="22"/>
      <c r="J28" s="22"/>
    </row>
    <row r="29" spans="1:11" x14ac:dyDescent="0.15">
      <c r="G29" s="22"/>
      <c r="H29" s="22"/>
      <c r="I29" s="22"/>
      <c r="J29" s="22"/>
    </row>
    <row r="30" spans="1:11" x14ac:dyDescent="0.15">
      <c r="G30" s="22"/>
      <c r="H30" s="22"/>
      <c r="I30" s="22"/>
      <c r="J30" s="22"/>
    </row>
    <row r="31" spans="1:11" x14ac:dyDescent="0.15">
      <c r="G31" s="22"/>
      <c r="H31" s="22"/>
      <c r="I31" s="22"/>
      <c r="J31" s="22"/>
    </row>
    <row r="32" spans="1:11" x14ac:dyDescent="0.15">
      <c r="G32" s="22"/>
      <c r="H32" s="22"/>
      <c r="I32" s="22"/>
      <c r="J32" s="22"/>
    </row>
    <row r="33" spans="7:10" x14ac:dyDescent="0.15">
      <c r="G33" s="22"/>
      <c r="H33" s="22"/>
      <c r="I33" s="22"/>
      <c r="J33" s="22"/>
    </row>
    <row r="34" spans="7:10" x14ac:dyDescent="0.15">
      <c r="G34" s="22"/>
      <c r="H34" s="22"/>
      <c r="I34" s="22"/>
      <c r="J34" s="22"/>
    </row>
    <row r="35" spans="7:10" x14ac:dyDescent="0.15">
      <c r="G35" s="22"/>
      <c r="H35" s="22"/>
      <c r="I35" s="22"/>
      <c r="J35" s="22"/>
    </row>
    <row r="36" spans="7:10" x14ac:dyDescent="0.15">
      <c r="G36" s="22"/>
      <c r="H36" s="22"/>
      <c r="I36" s="22"/>
      <c r="J36" s="22"/>
    </row>
    <row r="37" spans="7:10" x14ac:dyDescent="0.15">
      <c r="G37" s="22"/>
      <c r="H37" s="22"/>
      <c r="I37" s="22"/>
      <c r="J37" s="22"/>
    </row>
    <row r="38" spans="7:10" x14ac:dyDescent="0.15">
      <c r="G38" s="22"/>
      <c r="H38" s="22"/>
      <c r="I38" s="22"/>
      <c r="J38" s="22"/>
    </row>
    <row r="39" spans="7:10" x14ac:dyDescent="0.15">
      <c r="G39" s="22"/>
      <c r="H39" s="22"/>
      <c r="I39" s="22"/>
      <c r="J39" s="22"/>
    </row>
    <row r="40" spans="7:10" x14ac:dyDescent="0.15">
      <c r="G40" s="22"/>
      <c r="H40" s="22"/>
      <c r="I40" s="22"/>
      <c r="J40" s="22"/>
    </row>
  </sheetData>
  <phoneticPr fontId="2"/>
  <pageMargins left="0.70866141732283472" right="0.70866141732283472" top="0.74803149606299213" bottom="0.74803149606299213" header="0.31496062992125984" footer="0.31496062992125984"/>
  <pageSetup paperSize="11"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Pict="0" macro="[0]!データ削除8">
                <anchor moveWithCells="1" sizeWithCells="1">
                  <from>
                    <xdr:col>9</xdr:col>
                    <xdr:colOff>885825</xdr:colOff>
                    <xdr:row>3</xdr:row>
                    <xdr:rowOff>47625</xdr:rowOff>
                  </from>
                  <to>
                    <xdr:col>11</xdr:col>
                    <xdr:colOff>342900</xdr:colOff>
                    <xdr:row>5</xdr:row>
                    <xdr:rowOff>95250</xdr:rowOff>
                  </to>
                </anchor>
              </controlPr>
            </control>
          </mc:Choice>
        </mc:AlternateContent>
      </controls>
    </mc:Choice>
  </mc:AlternateContent>
  <tableParts count="3">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44</vt:i4>
      </vt:variant>
    </vt:vector>
  </HeadingPairs>
  <TitlesOfParts>
    <vt:vector size="89" baseType="lpstr">
      <vt:lpstr>巻末資料表紙</vt:lpstr>
      <vt:lpstr>2-Ⅰ</vt:lpstr>
      <vt:lpstr>２-Ⅱ</vt:lpstr>
      <vt:lpstr>２-Ⅲ</vt:lpstr>
      <vt:lpstr>２-Ⅳ</vt:lpstr>
      <vt:lpstr>２-Ⅴ</vt:lpstr>
      <vt:lpstr>２-Ⅵ</vt:lpstr>
      <vt:lpstr>３-Ⅰ</vt:lpstr>
      <vt:lpstr>３-Ⅱ</vt:lpstr>
      <vt:lpstr>３-Ⅲ</vt:lpstr>
      <vt:lpstr>３-Ⅳ</vt:lpstr>
      <vt:lpstr>３-Ⅴ</vt:lpstr>
      <vt:lpstr>４-Ⅰ</vt:lpstr>
      <vt:lpstr>４-Ⅱ</vt:lpstr>
      <vt:lpstr>４-Ⅲ</vt:lpstr>
      <vt:lpstr>４-Ⅳ</vt:lpstr>
      <vt:lpstr>４-Ⅴ</vt:lpstr>
      <vt:lpstr>４-Ⅵ</vt:lpstr>
      <vt:lpstr>5-Ⅰ①</vt:lpstr>
      <vt:lpstr>５-Ⅰ②</vt:lpstr>
      <vt:lpstr>５-Ⅰ③</vt:lpstr>
      <vt:lpstr>５-Ⅱ①</vt:lpstr>
      <vt:lpstr>５-Ⅱ②</vt:lpstr>
      <vt:lpstr>５-Ⅱ③</vt:lpstr>
      <vt:lpstr>５-Ⅱ④</vt:lpstr>
      <vt:lpstr>6-Ⅰ①</vt:lpstr>
      <vt:lpstr>6-Ⅰ②</vt:lpstr>
      <vt:lpstr>6-Ⅰ③</vt:lpstr>
      <vt:lpstr>6-Ⅰ④ </vt:lpstr>
      <vt:lpstr>6-Ⅰ⑤</vt:lpstr>
      <vt:lpstr>6-Ⅰ⑥ </vt:lpstr>
      <vt:lpstr>6-Ⅱ①</vt:lpstr>
      <vt:lpstr>6-Ⅱ②</vt:lpstr>
      <vt:lpstr>6-Ⅱ③</vt:lpstr>
      <vt:lpstr>6-Ⅱ④</vt:lpstr>
      <vt:lpstr>6-Ⅱ⑤</vt:lpstr>
      <vt:lpstr>6-Ⅱ⑥</vt:lpstr>
      <vt:lpstr>6-Ⅲ</vt:lpstr>
      <vt:lpstr>6-Ⅳ</vt:lpstr>
      <vt:lpstr>グラフ(年齢区分）</vt:lpstr>
      <vt:lpstr>グラフ(疾患名)</vt:lpstr>
      <vt:lpstr>グラフ(在院期間) </vt:lpstr>
      <vt:lpstr>グラフ(在院期間)  (2)</vt:lpstr>
      <vt:lpstr>グラフ(退院阻害要因＿１) </vt:lpstr>
      <vt:lpstr>グラフ(退院阻害要因＿２）</vt:lpstr>
      <vt:lpstr>'2-Ⅰ'!Print_Area</vt:lpstr>
      <vt:lpstr>'２-Ⅱ'!Print_Area</vt:lpstr>
      <vt:lpstr>'２-Ⅲ'!Print_Area</vt:lpstr>
      <vt:lpstr>'２-Ⅳ'!Print_Area</vt:lpstr>
      <vt:lpstr>'２-Ⅴ'!Print_Area</vt:lpstr>
      <vt:lpstr>'２-Ⅵ'!Print_Area</vt:lpstr>
      <vt:lpstr>'３-Ⅰ'!Print_Area</vt:lpstr>
      <vt:lpstr>'３-Ⅱ'!Print_Area</vt:lpstr>
      <vt:lpstr>'３-Ⅲ'!Print_Area</vt:lpstr>
      <vt:lpstr>'３-Ⅳ'!Print_Area</vt:lpstr>
      <vt:lpstr>'３-Ⅴ'!Print_Area</vt:lpstr>
      <vt:lpstr>'４-Ⅰ'!Print_Area</vt:lpstr>
      <vt:lpstr>'４-Ⅱ'!Print_Area</vt:lpstr>
      <vt:lpstr>'４-Ⅲ'!Print_Area</vt:lpstr>
      <vt:lpstr>'４-Ⅳ'!Print_Area</vt:lpstr>
      <vt:lpstr>'４-Ⅴ'!Print_Area</vt:lpstr>
      <vt:lpstr>'４-Ⅵ'!Print_Area</vt:lpstr>
      <vt:lpstr>'5-Ⅰ①'!Print_Area</vt:lpstr>
      <vt:lpstr>'５-Ⅰ②'!Print_Area</vt:lpstr>
      <vt:lpstr>'５-Ⅰ③'!Print_Area</vt:lpstr>
      <vt:lpstr>'５-Ⅱ①'!Print_Area</vt:lpstr>
      <vt:lpstr>'５-Ⅱ②'!Print_Area</vt:lpstr>
      <vt:lpstr>'５-Ⅱ③'!Print_Area</vt:lpstr>
      <vt:lpstr>'５-Ⅱ④'!Print_Area</vt:lpstr>
      <vt:lpstr>'6-Ⅰ①'!Print_Area</vt:lpstr>
      <vt:lpstr>'6-Ⅰ②'!Print_Area</vt:lpstr>
      <vt:lpstr>'6-Ⅰ③'!Print_Area</vt:lpstr>
      <vt:lpstr>'6-Ⅰ④ '!Print_Area</vt:lpstr>
      <vt:lpstr>'6-Ⅰ⑤'!Print_Area</vt:lpstr>
      <vt:lpstr>'6-Ⅰ⑥ '!Print_Area</vt:lpstr>
      <vt:lpstr>'6-Ⅱ①'!Print_Area</vt:lpstr>
      <vt:lpstr>'6-Ⅱ②'!Print_Area</vt:lpstr>
      <vt:lpstr>'6-Ⅱ③'!Print_Area</vt:lpstr>
      <vt:lpstr>'6-Ⅱ④'!Print_Area</vt:lpstr>
      <vt:lpstr>'6-Ⅱ⑤'!Print_Area</vt:lpstr>
      <vt:lpstr>'6-Ⅱ⑥'!Print_Area</vt:lpstr>
      <vt:lpstr>'6-Ⅲ'!Print_Area</vt:lpstr>
      <vt:lpstr>'6-Ⅳ'!Print_Area</vt:lpstr>
      <vt:lpstr>'グラフ(在院期間) '!Print_Area</vt:lpstr>
      <vt:lpstr>'グラフ(在院期間)  (2)'!Print_Area</vt:lpstr>
      <vt:lpstr>'グラフ(疾患名)'!Print_Area</vt:lpstr>
      <vt:lpstr>'グラフ(退院阻害要因＿１) '!Print_Area</vt:lpstr>
      <vt:lpstr>'グラフ(退院阻害要因＿２）'!Print_Area</vt:lpstr>
      <vt:lpstr>'グラフ(年齢区分）'!Print_Area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2022-05-19T09:43:16Z</cp:lastPrinted>
  <dcterms:created xsi:type="dcterms:W3CDTF">2016-04-12T05:01:29Z</dcterms:created>
  <dcterms:modified xsi:type="dcterms:W3CDTF">2022-07-12T08:28:02Z</dcterms:modified>
</cp:coreProperties>
</file>